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5"/>
  </bookViews>
  <sheets>
    <sheet name="Options" sheetId="1" r:id="rId1"/>
    <sheet name="Bus RTI" sheetId="2" r:id="rId2"/>
    <sheet name="Impacts" sheetId="3" r:id="rId3"/>
    <sheet name="Costs" sheetId="4" r:id="rId4"/>
    <sheet name="Benefits" sheetId="5" r:id="rId5"/>
    <sheet name="BCR and NPR" sheetId="6" r:id="rId6"/>
  </sheets>
  <definedNames>
    <definedName name="OLE_LINK1" localSheetId="1">'Bus RTI'!#REF!</definedName>
  </definedNames>
  <calcPr fullCalcOnLoad="1"/>
</workbook>
</file>

<file path=xl/sharedStrings.xml><?xml version="1.0" encoding="utf-8"?>
<sst xmlns="http://schemas.openxmlformats.org/spreadsheetml/2006/main" count="520" uniqueCount="280">
  <si>
    <t xml:space="preserve">Derbyshire Real Time Information Hub </t>
  </si>
  <si>
    <t>Do nothing</t>
  </si>
  <si>
    <t>This scenario assumes no change to current situation with no funding allocated to development of the PTM system. This scenario would require no capital expenditure or maintenance costs but would not address any of the problems</t>
  </si>
  <si>
    <t>Development of a real time information hub for Derbyshire consisting of:</t>
  </si>
  <si>
    <t xml:space="preserve"> - back office and communications infrastructure</t>
  </si>
  <si>
    <t xml:space="preserve"> - pre-emptive traffic management system</t>
  </si>
  <si>
    <t xml:space="preserve"> - real time information at bus stops</t>
  </si>
  <si>
    <t xml:space="preserve">Cost breakdown </t>
  </si>
  <si>
    <t>Pre-emptive traffic management system</t>
  </si>
  <si>
    <t xml:space="preserve">Benefits breakdown </t>
  </si>
  <si>
    <t>Item</t>
  </si>
  <si>
    <t>2018/19</t>
  </si>
  <si>
    <t>2019/20</t>
  </si>
  <si>
    <t>2020/21</t>
  </si>
  <si>
    <t>2021/22</t>
  </si>
  <si>
    <t>2022/23</t>
  </si>
  <si>
    <t>2023/24</t>
  </si>
  <si>
    <t>2024/25</t>
  </si>
  <si>
    <t>2025/26</t>
  </si>
  <si>
    <t>Total 10 Year Costs</t>
  </si>
  <si>
    <t>Total</t>
  </si>
  <si>
    <t xml:space="preserve">Discounted costs </t>
  </si>
  <si>
    <t>Journey time savings</t>
  </si>
  <si>
    <t>Options</t>
  </si>
  <si>
    <t>Do something - costs</t>
  </si>
  <si>
    <t>Total costs</t>
  </si>
  <si>
    <t>Do something - benefits</t>
  </si>
  <si>
    <t>NPV</t>
  </si>
  <si>
    <t>NPV/capital cost (total benefit per pound of capital expenditure)</t>
  </si>
  <si>
    <t>BCR</t>
  </si>
  <si>
    <t xml:space="preserve">Summary - accumulative </t>
  </si>
  <si>
    <t>10 year Period</t>
  </si>
  <si>
    <t>Benefits</t>
  </si>
  <si>
    <t>Accumulative NPV</t>
  </si>
  <si>
    <t>Parameters</t>
  </si>
  <si>
    <t>Value</t>
  </si>
  <si>
    <t>Source</t>
  </si>
  <si>
    <t>NPV discount rate</t>
  </si>
  <si>
    <t>The green book. (The net present value (NPV) of an option. The NPV is the primary criterion for deciding whether government action can be justified.)</t>
  </si>
  <si>
    <t>Ilkeston and Cotmanhay Farm</t>
  </si>
  <si>
    <t>Major development immediately south of Ilkeston at the old Stanton ironworks. No building working yet started but it is proposed that it will include 60 hectares for housing, 18 hectares for industrial use and a 9 hectare business park. Also new rail station at Ilkeston due to open in 2017.</t>
  </si>
  <si>
    <t>Commuters from this area also travel to Derby, Nottingham and Long Eaton.</t>
  </si>
  <si>
    <t>Service</t>
  </si>
  <si>
    <t>Development Areas</t>
  </si>
  <si>
    <t>Alfreton - Huthwaite</t>
  </si>
  <si>
    <t>1 (Huthwaite)</t>
  </si>
  <si>
    <t>A38 warehouse developments.</t>
  </si>
  <si>
    <t>Limited other developments in this area. Connects commuters to key employment sites in Mansfield, Ashfield and Alfreton.</t>
  </si>
  <si>
    <t>Shardlow</t>
  </si>
  <si>
    <t>Skylink Derby</t>
  </si>
  <si>
    <t>/Leicester</t>
  </si>
  <si>
    <t>Major housing development just south of Derby boundary going from Boulton Moor across to Chellaston expected to deliver 2750+ residential properties – work on this site has started already Commuters also travel to Derby and EMA.</t>
  </si>
  <si>
    <t>Duffield – Belper</t>
  </si>
  <si>
    <t>Sixes</t>
  </si>
  <si>
    <t>Cinderhill site to the rear of Belper -30 hectares for industrial use and up to 300 houses.</t>
  </si>
  <si>
    <t>Bullsmoor site in Belper 7.8 hectares for industrial/residential use</t>
  </si>
  <si>
    <t>Commuters also travel onto Derby</t>
  </si>
  <si>
    <t>Eastwood – Giltbrook – Kimberley Selston – Underwood – Brinsley</t>
  </si>
  <si>
    <t>Nines, Rainbow one, H1</t>
  </si>
  <si>
    <t>Heanor masterplan – mixed use development in town centre.</t>
  </si>
  <si>
    <t>Ripley masterplan – mixed use development in town centre.</t>
  </si>
  <si>
    <t>Eastwood, Giltbrook, Selston and Underwood have smaller residential developments planned.</t>
  </si>
  <si>
    <t>Kimberley Brewery will be redeveloped for up to 110 dwellings.</t>
  </si>
  <si>
    <t>These routes provide commuter connections for Nottingham, Derby, Alfreton, Ikea development and Sherwood Park (via Black Cat).</t>
  </si>
  <si>
    <t>Ilkeston – Sandiacre – Long Eaton – Old Sawley</t>
  </si>
  <si>
    <t>My 15 + zoom</t>
  </si>
  <si>
    <t>Major development immediately south of Ilkeston at the old Stanton ironworks. No building working yet started but will   include 60 hectares for housing, 18 hectares for industrial use and a 9 hectare business park  HS2 station at Toton and links to it from Sandiacre and Long Eaton</t>
  </si>
  <si>
    <t>Opening of the new rail station at Ilkeston in 2017. Commuters also travel onto Derby and Nottingham</t>
  </si>
  <si>
    <t>Borrowash – Sandiacre</t>
  </si>
  <si>
    <t>I4</t>
  </si>
  <si>
    <t>Limited housing developments and HS2 station at Toton and links to Sandiacre. Commuters also travel onto Derby and Nottingham</t>
  </si>
  <si>
    <t>Kirk Hallam – Ilkeston – Cotmanhay</t>
  </si>
  <si>
    <t>Ilkeston Flyer / Y3</t>
  </si>
  <si>
    <t>Major development immediately south of Ilkeston at the old Stanton ironworks. No building working yet started but will   include 60 hectares for housing, 18 hectares for industrial use and a 9 hectare business park. Opening of the new rail station at Ilkeston in 2017.</t>
  </si>
  <si>
    <t>Long Eaton</t>
  </si>
  <si>
    <t>Indigo, Skylink Nottingham,Y5+Zo om</t>
  </si>
  <si>
    <t>Further limited housing development and HS2 station at Toton. Commuters also travel onto Derby, Nottingham and EMA</t>
  </si>
  <si>
    <t>- Ripley</t>
  </si>
  <si>
    <t>Costs</t>
  </si>
  <si>
    <t>2026/27</t>
  </si>
  <si>
    <t>2027/28</t>
  </si>
  <si>
    <t>Journey Time Savings</t>
  </si>
  <si>
    <t>Decongestion Benefit</t>
  </si>
  <si>
    <t>CO2 Emissions</t>
  </si>
  <si>
    <t>Assumption</t>
  </si>
  <si>
    <t>Total 10 Year Benefits</t>
  </si>
  <si>
    <t>Accumulative costs</t>
  </si>
  <si>
    <t>Accumulative benefits</t>
  </si>
  <si>
    <t>Derbyshire RTI bus network consists of 186 bus stops which is 14% of total D2N2 scheme of 1325 bus stops , therefore total benefits have been factored by 14%</t>
  </si>
  <si>
    <t>DfT Scheme Funding</t>
  </si>
  <si>
    <t>Unplanned incident</t>
  </si>
  <si>
    <t xml:space="preserve">Link </t>
  </si>
  <si>
    <t xml:space="preserve">Commuting Unplanned Incident </t>
  </si>
  <si>
    <t>Saving (vehicle hours)</t>
  </si>
  <si>
    <t>Total hourly cost (£/hr)</t>
  </si>
  <si>
    <t>Average hourly cost (£/hr per vehicle)</t>
  </si>
  <si>
    <t>Average hourly cost (per person)</t>
  </si>
  <si>
    <t>Value saved per incident (£)</t>
  </si>
  <si>
    <t xml:space="preserve">Total saved per year </t>
  </si>
  <si>
    <t>Planned incident</t>
  </si>
  <si>
    <t>AADT flow for each link</t>
  </si>
  <si>
    <t>Assume 20% of AADT for a link is influenced by real time information disseminated to VMS or in-vehicle device</t>
  </si>
  <si>
    <t>Apply proportion influenced to total AADT to obtain total vehicle hours</t>
  </si>
  <si>
    <t>Apply following % to values of time and total AADT flow to obtain total hourly cost:</t>
  </si>
  <si>
    <t xml:space="preserve">Assume 15% of total AADT are commercial </t>
  </si>
  <si>
    <t xml:space="preserve">Assume 10% of total AADT are employer business </t>
  </si>
  <si>
    <t>Assume 75% of total AADT are commuting</t>
  </si>
  <si>
    <t>Apply total hourly cost to AADT flow on link to obtain cost per vehicle</t>
  </si>
  <si>
    <t>Apply car occupany to cost per vehicle to obtain cost per person</t>
  </si>
  <si>
    <t>Apply total vehicle hours saving to cost per person to obtain economic value saved per incident</t>
  </si>
  <si>
    <t>Apply value saved per incident to average no. of incidents per year per link to obtain total economic saving per year</t>
  </si>
  <si>
    <t>Apply peak hour flow factor to unplanned incidents as this is when VMS and in-vehicle data will be most beneficial for an incident</t>
  </si>
  <si>
    <t>Assumptions</t>
  </si>
  <si>
    <t>Quantity</t>
  </si>
  <si>
    <t xml:space="preserve">    Unit</t>
  </si>
  <si>
    <t xml:space="preserve">Journey time </t>
  </si>
  <si>
    <t>Journey time saving (time saved per vehicle)</t>
  </si>
  <si>
    <t>Minutes/per vehicle</t>
  </si>
  <si>
    <t>No. vehicles influenced by mobile VMS/in-vehicle information</t>
  </si>
  <si>
    <t>%</t>
  </si>
  <si>
    <t>Vehicles commercial</t>
  </si>
  <si>
    <t>Employer business</t>
  </si>
  <si>
    <t>Commuting</t>
  </si>
  <si>
    <t>Car occupancy</t>
  </si>
  <si>
    <t>Per hour</t>
  </si>
  <si>
    <t>Average no. incidents in peak hour per year/link</t>
  </si>
  <si>
    <t>Per year/link</t>
  </si>
  <si>
    <t>Value of Journey Time Factors (Webtag values)</t>
  </si>
  <si>
    <t>Freight vehicles commercial (per vehicle)</t>
  </si>
  <si>
    <t xml:space="preserve"> (£/h)</t>
  </si>
  <si>
    <t>Employer business (per vehicle)</t>
  </si>
  <si>
    <t>(£/h)</t>
  </si>
  <si>
    <t>Commuting (per vehicle)</t>
  </si>
  <si>
    <t>Values of time:</t>
  </si>
  <si>
    <t>http://webarchive.nationalarchives.gov.uk/20140304105410/http:/www.dft.gov.uk/webtag/documents/expert/pdf/U3_5_6-Jan-2014.pdf</t>
  </si>
  <si>
    <t>Peak hour traffic flow factor (%)</t>
  </si>
  <si>
    <t>Apply peak hour flow factor to planned incidents as this is when VMS and in-vehicle data will be most beneficial for an incident</t>
  </si>
  <si>
    <t xml:space="preserve">Traffic flow (AADT) per link </t>
  </si>
  <si>
    <t>TOTAL UNPLANNED INCIDENT AND PLANNED INCIDENT SAVING PER LINK WITH VMS</t>
  </si>
  <si>
    <t>TOTAL  SAVING (PEAK HOURS)</t>
  </si>
  <si>
    <t>Total benefits</t>
  </si>
  <si>
    <t>A38</t>
  </si>
  <si>
    <t>A52</t>
  </si>
  <si>
    <t>AADT flow for each link:</t>
  </si>
  <si>
    <t>Monitoring and evaluation of DHART</t>
  </si>
  <si>
    <t xml:space="preserve"> - upgrade traffic signals and implement bus priority </t>
  </si>
  <si>
    <t>VMS procurement and installation x 20</t>
  </si>
  <si>
    <t>App market penetration</t>
  </si>
  <si>
    <t>Real time data</t>
  </si>
  <si>
    <t>Warehousing data</t>
  </si>
  <si>
    <t>Management</t>
  </si>
  <si>
    <t xml:space="preserve">Procurement </t>
  </si>
  <si>
    <t>Replacement of VMS x 20</t>
  </si>
  <si>
    <t>TOTAL DHART</t>
  </si>
  <si>
    <t>DfT Funding Period</t>
  </si>
  <si>
    <t xml:space="preserve">Air quality monitoring </t>
  </si>
  <si>
    <t>Traffic flow (AADT) per link with peak hour factor</t>
  </si>
  <si>
    <t>Signal upgrade for bus priority</t>
  </si>
  <si>
    <t>Signal upgrade for bus prority</t>
  </si>
  <si>
    <t>Signal priority for bus upgrade</t>
  </si>
  <si>
    <t xml:space="preserve">Average </t>
  </si>
  <si>
    <t>Discounted benefits</t>
  </si>
  <si>
    <t>Signal sites within DHART area</t>
  </si>
  <si>
    <t>MOVA junction</t>
  </si>
  <si>
    <t>Work</t>
  </si>
  <si>
    <t>Commute</t>
  </si>
  <si>
    <t>Other</t>
  </si>
  <si>
    <t>TfL Vehicle actuated junction</t>
  </si>
  <si>
    <t>http://content.tfl.gov.uk/svd-brochure.pdf</t>
  </si>
  <si>
    <t>Vehicle actuated junction</t>
  </si>
  <si>
    <t>Real time information at bus stops</t>
  </si>
  <si>
    <t>TfL MOVA junction</t>
  </si>
  <si>
    <t xml:space="preserve">Maintenance </t>
  </si>
  <si>
    <t>Total for DfT funding period</t>
  </si>
  <si>
    <t>Additional detector pack at signal sites</t>
  </si>
  <si>
    <t>Design and commisioning  at signal sites</t>
  </si>
  <si>
    <t>Bus priorty modification to signal controller at signal sites</t>
  </si>
  <si>
    <t>Ongoing monitoring of DHART</t>
  </si>
  <si>
    <t>Average journey time savings per bus / per junction (secs)</t>
  </si>
  <si>
    <t>A38 - Derby to M1</t>
  </si>
  <si>
    <t>A52 - Derby to M1</t>
  </si>
  <si>
    <t>Traffic flow (AADT) per link with peak hour factor applied</t>
  </si>
  <si>
    <t>Link</t>
  </si>
  <si>
    <t>Length (miles)</t>
  </si>
  <si>
    <t>A52 M1 to Derby</t>
  </si>
  <si>
    <t>A38/A61 Derby to M1</t>
  </si>
  <si>
    <t>Total scheme network A-roads</t>
  </si>
  <si>
    <t>Total Derbyshire A-roads</t>
  </si>
  <si>
    <t>Annual Roadworks</t>
  </si>
  <si>
    <t>No. roadworks</t>
  </si>
  <si>
    <t xml:space="preserve">Average roadworks </t>
  </si>
  <si>
    <t>No. days</t>
  </si>
  <si>
    <t>Planned roadwork incidents</t>
  </si>
  <si>
    <t>Source: Derbyshire Copinty Copuncil streetworks team</t>
  </si>
  <si>
    <t>Total roadwork incidents affecting scheme network</t>
  </si>
  <si>
    <t>Average hourly cost saving (£/hr per vehicle)</t>
  </si>
  <si>
    <t>Average hourly cost saving (per person)</t>
  </si>
  <si>
    <t>No. roadworks per year</t>
  </si>
  <si>
    <t>Average roadworks</t>
  </si>
  <si>
    <t xml:space="preserve">% of A-road network for DHART scheme area </t>
  </si>
  <si>
    <t>Average duration of roadwork incidents</t>
  </si>
  <si>
    <t>A-roads roadwork incidents per year</t>
  </si>
  <si>
    <t>Total benefits pre-emptive traffic management system</t>
  </si>
  <si>
    <t>Total benefits priority bus signals</t>
  </si>
  <si>
    <t>Per year</t>
  </si>
  <si>
    <t>Total number of incidents in peak hour in scheme area</t>
  </si>
  <si>
    <t>Benefits Summary</t>
  </si>
  <si>
    <t>Total Journey Time Savings</t>
  </si>
  <si>
    <t>Derbyshire Highways Hub Advanced Real Time Information (DHART)</t>
  </si>
  <si>
    <t>Two</t>
  </si>
  <si>
    <t>Total bus stops for upgrade to RTI in DHART scheme area</t>
  </si>
  <si>
    <t>Key Locations on route</t>
  </si>
  <si>
    <t>Ripley – Alfreton - Heanor</t>
  </si>
  <si>
    <t>Bus routes in DHART scheme area proposed for RTI</t>
  </si>
  <si>
    <t>Source: Bus priority at traffic signals, Seletive Vehicle Detection (SVD)</t>
  </si>
  <si>
    <t>No. of bus stops (on key identified bus corridors)</t>
  </si>
  <si>
    <t>Increase in bus patronage</t>
  </si>
  <si>
    <t>146,950 passengers</t>
  </si>
  <si>
    <t>Increase bus operator revenues</t>
  </si>
  <si>
    <t>Value of time benefit for bus users due to reduced waiting times due to RTI and bus priority at signalised junctions and for road users from reduced delays</t>
  </si>
  <si>
    <t>Creation of jobs</t>
  </si>
  <si>
    <t>30 jobs</t>
  </si>
  <si>
    <t>Reduction in annual car mileage (miles)</t>
  </si>
  <si>
    <t>79,182 miles</t>
  </si>
  <si>
    <t>34 tonnes</t>
  </si>
  <si>
    <t>Reduction in tonnes of CO2 emmisons per year</t>
  </si>
  <si>
    <t>Maintenance</t>
  </si>
  <si>
    <t>Power connections</t>
  </si>
  <si>
    <t xml:space="preserve">Post, bracket and sign installation </t>
  </si>
  <si>
    <t>Post,  bracket and sign procurement</t>
  </si>
  <si>
    <t>Weekly miles</t>
  </si>
  <si>
    <t>Weekly passengers</t>
  </si>
  <si>
    <t>Bus route</t>
  </si>
  <si>
    <t>PVR</t>
  </si>
  <si>
    <t>Frequency</t>
  </si>
  <si>
    <t>Passenger Journey type per week</t>
  </si>
  <si>
    <t xml:space="preserve">Value of time (£/week) </t>
  </si>
  <si>
    <t>Signals per route</t>
  </si>
  <si>
    <t>Savings per route (secs)</t>
  </si>
  <si>
    <t>Savings per pasenger</t>
  </si>
  <si>
    <t>hourly</t>
  </si>
  <si>
    <t>£ /hr</t>
  </si>
  <si>
    <t>Secs saved</t>
  </si>
  <si>
    <t>Secs</t>
  </si>
  <si>
    <t>Hrs</t>
  </si>
  <si>
    <t>15 minutes</t>
  </si>
  <si>
    <t>10 minutes</t>
  </si>
  <si>
    <t>7-8 minutes</t>
  </si>
  <si>
    <t>Ripley | Heanor | fast to Nottingham</t>
  </si>
  <si>
    <t>Nottingham | Eastwood | Heanor, Ripley or Alfreton</t>
  </si>
  <si>
    <t>Derby | Ilkeston | Heanor | Kirkby | Mansfield</t>
  </si>
  <si>
    <t>Ripley l Selston l Kirkby l Sutton</t>
  </si>
  <si>
    <t>Derby | Ripley | Alfreton | Sutton | Mansfield</t>
  </si>
  <si>
    <t>Nottingham | Stapleford | Sandiacre | Derby</t>
  </si>
  <si>
    <t>H1</t>
  </si>
  <si>
    <t>Derby | Heanor | Alfreton</t>
  </si>
  <si>
    <t>Weekly value of time savings</t>
  </si>
  <si>
    <t>Annual value of time savings</t>
  </si>
  <si>
    <t xml:space="preserve">Bus route </t>
  </si>
  <si>
    <t xml:space="preserve">Bus route journey time </t>
  </si>
  <si>
    <t>Km</t>
  </si>
  <si>
    <t>Mins</t>
  </si>
  <si>
    <t>Average passenger journey per route (km)</t>
  </si>
  <si>
    <t xml:space="preserve">Benefits realisation of 50% applied to 2018/19 as system being installed  </t>
  </si>
  <si>
    <t>Control hub ph1- power supply, operator  terminals, comms equipment , maintenance</t>
  </si>
  <si>
    <t>Refinement to pre-emptive software</t>
  </si>
  <si>
    <t>Source: Derbyshire County Council signals team</t>
  </si>
  <si>
    <t xml:space="preserve"> See bus priority spreadsheet model for D2N2 impact assumptions, assumed 14% of benefit based on number of RTI signs in DHART area</t>
  </si>
  <si>
    <t>10 year period</t>
  </si>
  <si>
    <t>Optimism bias contingency</t>
  </si>
  <si>
    <t>Monitoring</t>
  </si>
  <si>
    <t>Rainbow one</t>
  </si>
  <si>
    <t>Black cat</t>
  </si>
  <si>
    <t>The ninety</t>
  </si>
  <si>
    <t>The nines</t>
  </si>
  <si>
    <t>Rapid one</t>
  </si>
  <si>
    <t>Sub-total</t>
  </si>
  <si>
    <t>Event management software plugin</t>
  </si>
  <si>
    <t>Risk adjusted cost using QRA P50 value</t>
  </si>
  <si>
    <t>BCR and NPV (using risk adjusted cost and including optimism bias)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</si>
</sst>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quot;£&quot;#,##0.00"/>
    <numFmt numFmtId="167" formatCode="0.0"/>
    <numFmt numFmtId="168" formatCode="_-[$£-809]* #,##0.00_-;\-[$£-809]* #,##0.00_-;_-[$£-809]* &quot;-&quot;??_-;_-@_-"/>
    <numFmt numFmtId="169" formatCode="#,##0_ ;\-#,##0\ "/>
    <numFmt numFmtId="170" formatCode="_-[$£-809]* #,##0_-;\-[$£-809]* #,##0_-;_-[$£-809]* &quot;-&quot;??_-;_-@_-"/>
  </numFmts>
  <fonts count="67">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i/>
      <sz val="11"/>
      <color indexed="8"/>
      <name val="Calibri"/>
      <family val="2"/>
    </font>
    <font>
      <b/>
      <i/>
      <sz val="11"/>
      <color indexed="8"/>
      <name val="Calibri"/>
      <family val="2"/>
    </font>
    <font>
      <b/>
      <sz val="12"/>
      <name val="Calibri"/>
      <family val="2"/>
    </font>
    <font>
      <b/>
      <sz val="14"/>
      <name val="Calibri"/>
      <family val="2"/>
    </font>
    <font>
      <b/>
      <sz val="16"/>
      <color indexed="8"/>
      <name val="Calibri"/>
      <family val="2"/>
    </font>
    <font>
      <b/>
      <u val="single"/>
      <sz val="11"/>
      <color indexed="8"/>
      <name val="Calibri"/>
      <family val="2"/>
    </font>
    <font>
      <sz val="8"/>
      <color indexed="8"/>
      <name val="Calibri"/>
      <family val="2"/>
    </font>
    <font>
      <b/>
      <u val="single"/>
      <sz val="12"/>
      <name val="Calibri"/>
      <family val="2"/>
    </font>
    <font>
      <b/>
      <i/>
      <u val="single"/>
      <sz val="11"/>
      <color indexed="8"/>
      <name val="Calibri"/>
      <family val="2"/>
    </font>
    <font>
      <b/>
      <sz val="14"/>
      <color indexed="8"/>
      <name val="Calibri"/>
      <family val="2"/>
    </font>
    <font>
      <b/>
      <u val="single"/>
      <sz val="14"/>
      <color indexed="8"/>
      <name val="Calibri"/>
      <family val="2"/>
    </font>
    <font>
      <sz val="9"/>
      <name val="Arial"/>
      <family val="2"/>
    </font>
    <font>
      <sz val="9"/>
      <name val="Times New Roman"/>
      <family val="1"/>
    </font>
    <font>
      <sz val="8.5"/>
      <name val="Times New Roman"/>
      <family val="1"/>
    </font>
    <font>
      <b/>
      <sz val="10"/>
      <name val="Arial"/>
      <family val="2"/>
    </font>
    <font>
      <b/>
      <u val="single"/>
      <sz val="14"/>
      <name val="Calibri"/>
      <family val="2"/>
    </font>
    <font>
      <sz val="10"/>
      <color indexed="8"/>
      <name val="Arial"/>
      <family val="2"/>
    </font>
    <font>
      <b/>
      <sz val="9"/>
      <color indexed="8"/>
      <name val="Calibri"/>
      <family val="2"/>
    </font>
    <font>
      <i/>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theme="1"/>
      <name val="Calibri"/>
      <family val="2"/>
    </font>
    <font>
      <b/>
      <i/>
      <sz val="11"/>
      <color theme="1"/>
      <name val="Calibri"/>
      <family val="2"/>
    </font>
    <font>
      <b/>
      <sz val="16"/>
      <color theme="1"/>
      <name val="Calibri"/>
      <family val="2"/>
    </font>
    <font>
      <b/>
      <u val="single"/>
      <sz val="11"/>
      <color theme="1"/>
      <name val="Calibri"/>
      <family val="2"/>
    </font>
    <font>
      <sz val="8"/>
      <color theme="1"/>
      <name val="Calibri"/>
      <family val="2"/>
    </font>
    <font>
      <b/>
      <i/>
      <u val="single"/>
      <sz val="11"/>
      <color theme="1"/>
      <name val="Calibri"/>
      <family val="2"/>
    </font>
    <font>
      <b/>
      <sz val="14"/>
      <color theme="1"/>
      <name val="Calibri"/>
      <family val="2"/>
    </font>
    <font>
      <b/>
      <u val="single"/>
      <sz val="14"/>
      <color theme="1"/>
      <name val="Calibri"/>
      <family val="2"/>
    </font>
    <font>
      <sz val="10"/>
      <color theme="1"/>
      <name val="Arial"/>
      <family val="2"/>
    </font>
    <font>
      <sz val="11"/>
      <color rgb="FF000000"/>
      <name val="Calibri"/>
      <family val="2"/>
    </font>
    <font>
      <b/>
      <sz val="9"/>
      <color rgb="FF000000"/>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CC0099"/>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thin"/>
      <bottom style="thin"/>
    </border>
    <border>
      <left style="thin"/>
      <right style="thin"/>
      <top style="medium"/>
      <bottom style="medium"/>
    </border>
    <border>
      <left style="thin"/>
      <right/>
      <top style="medium"/>
      <bottom style="medium"/>
    </border>
    <border>
      <left style="medium"/>
      <right style="medium"/>
      <top/>
      <bottom style="medium"/>
    </border>
    <border>
      <left style="medium"/>
      <right style="medium"/>
      <top/>
      <bottom/>
    </border>
    <border>
      <left style="medium"/>
      <right style="medium"/>
      <top style="thin"/>
      <bottom style="medium"/>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bottom style="medium"/>
    </border>
    <border>
      <left style="medium"/>
      <right style="medium"/>
      <top style="medium"/>
      <bottom/>
    </border>
    <border>
      <left/>
      <right style="medium"/>
      <top style="medium"/>
      <bottom style="medium"/>
    </border>
    <border>
      <left style="medium"/>
      <right style="medium"/>
      <top/>
      <bottom style="thin"/>
    </border>
    <border>
      <left/>
      <right style="thin"/>
      <top/>
      <bottom style="medium"/>
    </border>
    <border>
      <left style="medium"/>
      <right/>
      <top style="medium"/>
      <bottom style="medium"/>
    </border>
    <border>
      <left/>
      <right style="thin"/>
      <top style="medium"/>
      <bottom style="medium"/>
    </border>
    <border>
      <left/>
      <right/>
      <top style="medium"/>
      <bottom style="medium"/>
    </border>
    <border>
      <left style="medium"/>
      <right style="medium"/>
      <top style="thin"/>
      <bottom/>
    </border>
    <border>
      <left/>
      <right style="thin"/>
      <top style="thin"/>
      <bottom/>
    </border>
    <border>
      <left style="medium"/>
      <right/>
      <top style="thin"/>
      <bottom style="thin"/>
    </border>
    <border>
      <left style="medium"/>
      <right/>
      <top style="thin"/>
      <bottom/>
    </border>
    <border>
      <left/>
      <right style="medium"/>
      <top style="thin"/>
      <bottom style="thin"/>
    </border>
    <border>
      <left/>
      <right style="medium"/>
      <top style="thin"/>
      <bottom style="medium"/>
    </border>
    <border>
      <left style="medium"/>
      <right style="thin"/>
      <top style="medium"/>
      <bottom style="medium"/>
    </border>
    <border>
      <left style="medium"/>
      <right/>
      <top style="medium"/>
      <bottom/>
    </border>
    <border>
      <left style="medium"/>
      <right style="thin"/>
      <top style="medium"/>
      <bottom/>
    </border>
    <border>
      <left/>
      <right style="medium"/>
      <top style="medium"/>
      <bottom/>
    </border>
    <border>
      <left style="medium"/>
      <right style="medium"/>
      <top style="medium"/>
      <bottom style="thin"/>
    </border>
    <border>
      <left/>
      <right style="medium"/>
      <top style="medium"/>
      <bottom style="thin"/>
    </border>
    <border>
      <left/>
      <right style="medium"/>
      <top style="thin"/>
      <bottom/>
    </border>
    <border>
      <left/>
      <right style="medium"/>
      <top/>
      <bottom style="thin"/>
    </border>
    <border>
      <left/>
      <right style="medium"/>
      <top/>
      <bottom/>
    </border>
    <border>
      <left/>
      <right style="medium"/>
      <top/>
      <bottom style="medium"/>
    </border>
    <border>
      <left style="medium"/>
      <right/>
      <top/>
      <bottom style="thin"/>
    </border>
    <border>
      <left style="medium"/>
      <right/>
      <top style="medium"/>
      <bottom style="thin"/>
    </border>
    <border>
      <left style="medium"/>
      <right/>
      <top/>
      <bottom style="medium"/>
    </border>
    <border>
      <left/>
      <right/>
      <top/>
      <bottom style="medium"/>
    </border>
    <border>
      <left/>
      <right style="thin"/>
      <top style="medium"/>
      <bottom style="thin"/>
    </border>
    <border>
      <left/>
      <right style="thin"/>
      <top style="thin"/>
      <bottom style="mediu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medium"/>
    </border>
    <border>
      <left/>
      <right style="thin"/>
      <top style="thin"/>
      <bottom style="thin"/>
    </border>
    <border>
      <left/>
      <right style="thin"/>
      <top/>
      <bottom style="thin"/>
    </border>
    <border>
      <left style="medium"/>
      <right/>
      <top style="thin"/>
      <bottom style="medium"/>
    </border>
    <border>
      <left style="thin"/>
      <right style="thin"/>
      <top/>
      <bottom style="thin"/>
    </border>
    <border>
      <left style="thin"/>
      <right/>
      <top/>
      <bottom style="thin"/>
    </border>
    <border>
      <left/>
      <right/>
      <top style="thin"/>
      <bottom style="thin"/>
    </border>
    <border>
      <left style="medium"/>
      <right style="thin"/>
      <top/>
      <bottom style="thin"/>
    </border>
    <border>
      <left style="medium"/>
      <right style="thin"/>
      <top style="thin"/>
      <bottom/>
    </border>
    <border>
      <left style="thin"/>
      <right style="thin"/>
      <top style="thin"/>
      <bottom/>
    </border>
    <border>
      <left/>
      <right/>
      <top style="medium"/>
      <bottom style="thin"/>
    </border>
    <border>
      <left/>
      <right/>
      <top style="thin"/>
      <bottom style="mediu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01">
    <xf numFmtId="0" fontId="0" fillId="0" borderId="0" xfId="0" applyFont="1"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Alignment="1">
      <alignment wrapText="1"/>
    </xf>
    <xf numFmtId="0" fontId="55" fillId="33" borderId="0" xfId="0" applyFont="1" applyFill="1" applyAlignment="1">
      <alignment/>
    </xf>
    <xf numFmtId="0" fontId="56" fillId="33" borderId="0" xfId="0" applyFont="1" applyFill="1" applyAlignment="1">
      <alignment/>
    </xf>
    <xf numFmtId="0" fontId="53" fillId="33" borderId="10" xfId="0" applyFont="1" applyFill="1" applyBorder="1" applyAlignment="1">
      <alignment/>
    </xf>
    <xf numFmtId="0" fontId="53" fillId="33" borderId="10" xfId="0" applyFont="1" applyFill="1" applyBorder="1" applyAlignment="1">
      <alignment horizontal="center"/>
    </xf>
    <xf numFmtId="164" fontId="53" fillId="33" borderId="10" xfId="0" applyNumberFormat="1" applyFont="1" applyFill="1" applyBorder="1" applyAlignment="1">
      <alignment horizontal="center"/>
    </xf>
    <xf numFmtId="44" fontId="0" fillId="0" borderId="11" xfId="44" applyFont="1" applyFill="1" applyBorder="1" applyAlignment="1">
      <alignment/>
    </xf>
    <xf numFmtId="44" fontId="0" fillId="0" borderId="12" xfId="44" applyFont="1" applyFill="1" applyBorder="1" applyAlignment="1">
      <alignment/>
    </xf>
    <xf numFmtId="44" fontId="0" fillId="33" borderId="12" xfId="44" applyFont="1" applyFill="1" applyBorder="1" applyAlignment="1">
      <alignment/>
    </xf>
    <xf numFmtId="0" fontId="53" fillId="34" borderId="10" xfId="0" applyFont="1" applyFill="1" applyBorder="1" applyAlignment="1">
      <alignment/>
    </xf>
    <xf numFmtId="44" fontId="53" fillId="34" borderId="13" xfId="44" applyFont="1" applyFill="1" applyBorder="1" applyAlignment="1">
      <alignment horizontal="center"/>
    </xf>
    <xf numFmtId="44" fontId="53" fillId="34" borderId="14" xfId="44" applyFont="1" applyFill="1" applyBorder="1" applyAlignment="1">
      <alignment horizontal="center"/>
    </xf>
    <xf numFmtId="44" fontId="53" fillId="34" borderId="10" xfId="44" applyFont="1" applyFill="1" applyBorder="1" applyAlignment="1">
      <alignment horizontal="center"/>
    </xf>
    <xf numFmtId="0" fontId="3" fillId="33" borderId="15" xfId="0" applyFont="1" applyFill="1" applyBorder="1" applyAlignment="1">
      <alignment wrapText="1"/>
    </xf>
    <xf numFmtId="0" fontId="3" fillId="33" borderId="16" xfId="0" applyFont="1" applyFill="1" applyBorder="1" applyAlignment="1">
      <alignment wrapText="1"/>
    </xf>
    <xf numFmtId="0" fontId="8" fillId="0" borderId="0" xfId="0" applyFont="1" applyFill="1" applyAlignment="1">
      <alignment/>
    </xf>
    <xf numFmtId="0" fontId="4" fillId="35" borderId="10" xfId="0" applyFont="1" applyFill="1" applyBorder="1" applyAlignment="1">
      <alignment horizontal="left" vertical="center"/>
    </xf>
    <xf numFmtId="165" fontId="4" fillId="34" borderId="12" xfId="0" applyNumberFormat="1" applyFont="1" applyFill="1" applyBorder="1" applyAlignment="1">
      <alignment horizontal="left" vertical="center"/>
    </xf>
    <xf numFmtId="165" fontId="4" fillId="34" borderId="17" xfId="0" applyNumberFormat="1" applyFont="1" applyFill="1" applyBorder="1" applyAlignment="1">
      <alignment horizontal="left" vertical="center"/>
    </xf>
    <xf numFmtId="0" fontId="4" fillId="34"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57" fillId="33" borderId="0" xfId="0" applyFont="1" applyFill="1" applyAlignment="1">
      <alignment/>
    </xf>
    <xf numFmtId="0" fontId="58" fillId="33" borderId="0" xfId="0" applyFont="1" applyFill="1" applyBorder="1" applyAlignment="1">
      <alignment horizontal="left" vertical="center"/>
    </xf>
    <xf numFmtId="2" fontId="53" fillId="33" borderId="0" xfId="0" applyNumberFormat="1" applyFont="1" applyFill="1" applyBorder="1" applyAlignment="1">
      <alignment horizontal="center" vertical="center"/>
    </xf>
    <xf numFmtId="165" fontId="0" fillId="33" borderId="18" xfId="0" applyNumberFormat="1" applyFill="1" applyBorder="1" applyAlignment="1">
      <alignment horizontal="center"/>
    </xf>
    <xf numFmtId="165" fontId="0" fillId="33" borderId="11" xfId="0" applyNumberFormat="1" applyFont="1" applyFill="1" applyBorder="1" applyAlignment="1">
      <alignment horizontal="center" vertical="center"/>
    </xf>
    <xf numFmtId="165" fontId="0" fillId="33" borderId="19" xfId="0" applyNumberFormat="1" applyFont="1" applyFill="1" applyBorder="1" applyAlignment="1">
      <alignment horizontal="center" vertical="center"/>
    </xf>
    <xf numFmtId="165" fontId="0" fillId="33" borderId="12" xfId="0" applyNumberFormat="1" applyFont="1" applyFill="1" applyBorder="1" applyAlignment="1">
      <alignment horizontal="center"/>
    </xf>
    <xf numFmtId="0" fontId="0" fillId="33" borderId="18" xfId="0" applyFill="1" applyBorder="1" applyAlignment="1">
      <alignment horizontal="center"/>
    </xf>
    <xf numFmtId="165" fontId="0" fillId="33" borderId="11" xfId="0" applyNumberFormat="1" applyFill="1" applyBorder="1" applyAlignment="1">
      <alignment horizontal="center"/>
    </xf>
    <xf numFmtId="165" fontId="0" fillId="33" borderId="19" xfId="0" applyNumberFormat="1" applyFill="1" applyBorder="1" applyAlignment="1">
      <alignment horizontal="center"/>
    </xf>
    <xf numFmtId="165" fontId="0" fillId="36" borderId="18" xfId="0" applyNumberFormat="1" applyFill="1" applyBorder="1" applyAlignment="1">
      <alignment horizontal="center"/>
    </xf>
    <xf numFmtId="165" fontId="0" fillId="36" borderId="11" xfId="0" applyNumberFormat="1" applyFill="1" applyBorder="1" applyAlignment="1">
      <alignment horizontal="center" vertical="center"/>
    </xf>
    <xf numFmtId="165" fontId="0" fillId="36" borderId="19" xfId="0" applyNumberFormat="1" applyFill="1" applyBorder="1" applyAlignment="1">
      <alignment horizontal="center" vertical="center"/>
    </xf>
    <xf numFmtId="165" fontId="0" fillId="36" borderId="12" xfId="0" applyNumberFormat="1" applyFill="1" applyBorder="1" applyAlignment="1">
      <alignment horizontal="center" vertical="center"/>
    </xf>
    <xf numFmtId="165" fontId="0" fillId="14" borderId="11" xfId="0" applyNumberFormat="1" applyFill="1" applyBorder="1" applyAlignment="1">
      <alignment horizontal="center"/>
    </xf>
    <xf numFmtId="165" fontId="0" fillId="14" borderId="19" xfId="0" applyNumberFormat="1" applyFill="1" applyBorder="1" applyAlignment="1">
      <alignment horizontal="center"/>
    </xf>
    <xf numFmtId="165" fontId="0" fillId="14" borderId="12" xfId="0" applyNumberFormat="1" applyFont="1" applyFill="1" applyBorder="1" applyAlignment="1">
      <alignment horizontal="center"/>
    </xf>
    <xf numFmtId="165" fontId="0" fillId="37" borderId="20" xfId="0" applyNumberFormat="1" applyFill="1" applyBorder="1" applyAlignment="1">
      <alignment horizontal="center"/>
    </xf>
    <xf numFmtId="165" fontId="0" fillId="37" borderId="21" xfId="0" applyNumberFormat="1" applyFill="1" applyBorder="1" applyAlignment="1">
      <alignment horizontal="center"/>
    </xf>
    <xf numFmtId="165" fontId="0" fillId="37" borderId="17" xfId="0" applyNumberFormat="1" applyFont="1" applyFill="1" applyBorder="1" applyAlignment="1">
      <alignment horizontal="center"/>
    </xf>
    <xf numFmtId="0" fontId="53" fillId="33" borderId="22" xfId="0" applyFont="1" applyFill="1" applyBorder="1" applyAlignment="1">
      <alignment horizontal="center" vertical="center" wrapText="1"/>
    </xf>
    <xf numFmtId="0" fontId="59" fillId="33" borderId="23" xfId="0" applyFont="1" applyFill="1" applyBorder="1" applyAlignment="1">
      <alignment vertical="center" wrapText="1"/>
    </xf>
    <xf numFmtId="0" fontId="7" fillId="33" borderId="16" xfId="0" applyFont="1" applyFill="1" applyBorder="1" applyAlignment="1">
      <alignment/>
    </xf>
    <xf numFmtId="0" fontId="12" fillId="33" borderId="24" xfId="0" applyFont="1" applyFill="1" applyBorder="1" applyAlignment="1">
      <alignment/>
    </xf>
    <xf numFmtId="0" fontId="53" fillId="33" borderId="0" xfId="0" applyFont="1" applyFill="1" applyAlignment="1">
      <alignment/>
    </xf>
    <xf numFmtId="0" fontId="53" fillId="33" borderId="25" xfId="0" applyFont="1" applyFill="1" applyBorder="1" applyAlignment="1">
      <alignment horizontal="center"/>
    </xf>
    <xf numFmtId="43" fontId="3" fillId="33" borderId="0" xfId="42" applyFont="1" applyFill="1" applyAlignment="1">
      <alignment/>
    </xf>
    <xf numFmtId="0" fontId="4" fillId="33" borderId="25" xfId="0" applyFont="1" applyFill="1" applyBorder="1" applyAlignment="1">
      <alignment horizontal="center"/>
    </xf>
    <xf numFmtId="0" fontId="4" fillId="33" borderId="10" xfId="0" applyFont="1" applyFill="1" applyBorder="1" applyAlignment="1">
      <alignment horizontal="center"/>
    </xf>
    <xf numFmtId="0" fontId="0" fillId="33" borderId="12" xfId="0" applyFont="1" applyFill="1" applyBorder="1" applyAlignment="1">
      <alignment/>
    </xf>
    <xf numFmtId="0" fontId="55" fillId="33" borderId="12" xfId="0" applyFont="1" applyFill="1" applyBorder="1" applyAlignment="1">
      <alignment/>
    </xf>
    <xf numFmtId="0" fontId="55" fillId="33" borderId="26" xfId="0" applyFont="1" applyFill="1" applyBorder="1" applyAlignment="1">
      <alignment/>
    </xf>
    <xf numFmtId="0" fontId="0" fillId="33" borderId="26" xfId="0" applyFont="1" applyFill="1" applyBorder="1" applyAlignment="1">
      <alignment/>
    </xf>
    <xf numFmtId="10" fontId="0" fillId="33" borderId="27" xfId="0" applyNumberFormat="1" applyFill="1" applyBorder="1" applyAlignment="1">
      <alignment horizontal="center" vertical="center" wrapText="1"/>
    </xf>
    <xf numFmtId="0" fontId="0" fillId="33" borderId="10" xfId="0" applyFill="1" applyBorder="1" applyAlignment="1">
      <alignment vertical="center" wrapText="1"/>
    </xf>
    <xf numFmtId="0" fontId="0" fillId="33" borderId="0" xfId="0" applyFill="1" applyAlignment="1">
      <alignment horizontal="center"/>
    </xf>
    <xf numFmtId="0" fontId="53" fillId="33" borderId="28" xfId="0" applyFont="1" applyFill="1" applyBorder="1" applyAlignment="1">
      <alignment horizontal="center"/>
    </xf>
    <xf numFmtId="0" fontId="4" fillId="33" borderId="28" xfId="0" applyFont="1" applyFill="1" applyBorder="1" applyAlignment="1">
      <alignment horizontal="center"/>
    </xf>
    <xf numFmtId="0" fontId="60" fillId="33" borderId="0" xfId="0" applyFont="1" applyFill="1" applyAlignment="1">
      <alignment/>
    </xf>
    <xf numFmtId="0" fontId="3" fillId="35" borderId="29" xfId="0" applyFont="1" applyFill="1" applyBorder="1" applyAlignment="1">
      <alignment horizontal="center" vertical="center"/>
    </xf>
    <xf numFmtId="165" fontId="3" fillId="35" borderId="30" xfId="0" applyNumberFormat="1" applyFont="1" applyFill="1" applyBorder="1" applyAlignment="1">
      <alignment horizontal="center" vertical="center"/>
    </xf>
    <xf numFmtId="0" fontId="3" fillId="35" borderId="30" xfId="0" applyFont="1" applyFill="1" applyBorder="1" applyAlignment="1" quotePrefix="1">
      <alignment horizontal="center" vertical="center"/>
    </xf>
    <xf numFmtId="165" fontId="3" fillId="35" borderId="10" xfId="0" applyNumberFormat="1" applyFont="1" applyFill="1" applyBorder="1" applyAlignment="1">
      <alignment horizontal="center" vertical="center"/>
    </xf>
    <xf numFmtId="0" fontId="4" fillId="33" borderId="31" xfId="0" applyFont="1" applyFill="1" applyBorder="1" applyAlignment="1">
      <alignment horizontal="left" vertical="center" wrapText="1"/>
    </xf>
    <xf numFmtId="166" fontId="3" fillId="33" borderId="32" xfId="0" applyNumberFormat="1" applyFont="1" applyFill="1" applyBorder="1" applyAlignment="1">
      <alignment horizontal="center" vertical="center"/>
    </xf>
    <xf numFmtId="166" fontId="3" fillId="33" borderId="31" xfId="0" applyNumberFormat="1" applyFont="1" applyFill="1" applyBorder="1" applyAlignment="1">
      <alignment horizontal="center" vertical="center"/>
    </xf>
    <xf numFmtId="0" fontId="4" fillId="38" borderId="10" xfId="0" applyFont="1" applyFill="1" applyBorder="1" applyAlignment="1">
      <alignment horizontal="left" vertical="center"/>
    </xf>
    <xf numFmtId="2" fontId="4" fillId="38" borderId="29" xfId="0" applyNumberFormat="1" applyFont="1" applyFill="1" applyBorder="1" applyAlignment="1">
      <alignment horizontal="center" vertical="center"/>
    </xf>
    <xf numFmtId="0" fontId="4" fillId="34" borderId="15" xfId="0" applyFont="1" applyFill="1" applyBorder="1" applyAlignment="1">
      <alignment/>
    </xf>
    <xf numFmtId="0" fontId="0" fillId="33" borderId="0" xfId="0" applyFill="1" applyBorder="1" applyAlignment="1">
      <alignment/>
    </xf>
    <xf numFmtId="0" fontId="53" fillId="0" borderId="28" xfId="0" applyFont="1" applyBorder="1" applyAlignment="1">
      <alignment horizontal="left"/>
    </xf>
    <xf numFmtId="1" fontId="0" fillId="0" borderId="33" xfId="0" applyNumberFormat="1" applyFont="1" applyBorder="1" applyAlignment="1">
      <alignment horizontal="left"/>
    </xf>
    <xf numFmtId="0" fontId="0" fillId="0" borderId="33" xfId="0" applyFont="1" applyFill="1" applyBorder="1" applyAlignment="1">
      <alignment horizontal="left"/>
    </xf>
    <xf numFmtId="1" fontId="0" fillId="0" borderId="33" xfId="0" applyNumberFormat="1" applyFont="1" applyFill="1" applyBorder="1" applyAlignment="1">
      <alignment horizontal="left"/>
    </xf>
    <xf numFmtId="1" fontId="0" fillId="0" borderId="34" xfId="0" applyNumberFormat="1" applyFont="1" applyFill="1" applyBorder="1" applyAlignment="1">
      <alignment horizontal="left"/>
    </xf>
    <xf numFmtId="1" fontId="53" fillId="34" borderId="28" xfId="0" applyNumberFormat="1" applyFont="1" applyFill="1" applyBorder="1" applyAlignment="1">
      <alignment horizontal="left"/>
    </xf>
    <xf numFmtId="0" fontId="53" fillId="13" borderId="26" xfId="0" applyFont="1" applyFill="1" applyBorder="1" applyAlignment="1">
      <alignment/>
    </xf>
    <xf numFmtId="0" fontId="0" fillId="13" borderId="12" xfId="0" applyFill="1" applyBorder="1" applyAlignment="1">
      <alignment horizontal="center"/>
    </xf>
    <xf numFmtId="0" fontId="53" fillId="13" borderId="26" xfId="0" applyFont="1" applyFill="1" applyBorder="1" applyAlignment="1">
      <alignment horizontal="center"/>
    </xf>
    <xf numFmtId="0" fontId="0" fillId="13" borderId="12" xfId="0" applyFill="1" applyBorder="1" applyAlignment="1">
      <alignment/>
    </xf>
    <xf numFmtId="0" fontId="0" fillId="39" borderId="12" xfId="0" applyFill="1" applyBorder="1" applyAlignment="1">
      <alignment horizontal="center"/>
    </xf>
    <xf numFmtId="9" fontId="0" fillId="39" borderId="12" xfId="57" applyFont="1" applyFill="1" applyBorder="1" applyAlignment="1">
      <alignment horizontal="center"/>
    </xf>
    <xf numFmtId="9" fontId="0" fillId="13" borderId="12" xfId="57" applyFont="1" applyFill="1" applyBorder="1" applyAlignment="1">
      <alignment horizontal="center"/>
    </xf>
    <xf numFmtId="0" fontId="0" fillId="13" borderId="16" xfId="0" applyFill="1" applyBorder="1" applyAlignment="1">
      <alignment horizontal="center"/>
    </xf>
    <xf numFmtId="0" fontId="0" fillId="13" borderId="17" xfId="0" applyFill="1" applyBorder="1" applyAlignment="1">
      <alignment/>
    </xf>
    <xf numFmtId="0" fontId="0" fillId="13" borderId="17" xfId="0" applyFill="1" applyBorder="1" applyAlignment="1">
      <alignment horizontal="center"/>
    </xf>
    <xf numFmtId="0" fontId="53" fillId="33" borderId="30" xfId="0" applyFont="1" applyFill="1" applyBorder="1" applyAlignment="1">
      <alignment horizontal="center"/>
    </xf>
    <xf numFmtId="0" fontId="0" fillId="34" borderId="26" xfId="0" applyFill="1" applyBorder="1" applyAlignment="1">
      <alignment/>
    </xf>
    <xf numFmtId="0" fontId="0" fillId="34" borderId="35" xfId="0" applyFont="1" applyFill="1" applyBorder="1" applyAlignment="1">
      <alignment horizontal="center"/>
    </xf>
    <xf numFmtId="0" fontId="0" fillId="34" borderId="12" xfId="0" applyFill="1" applyBorder="1" applyAlignment="1">
      <alignment horizontal="center"/>
    </xf>
    <xf numFmtId="0" fontId="0" fillId="34" borderId="12" xfId="0" applyFill="1" applyBorder="1" applyAlignment="1">
      <alignment/>
    </xf>
    <xf numFmtId="0" fontId="0" fillId="34" borderId="17" xfId="0" applyFill="1" applyBorder="1" applyAlignment="1">
      <alignment/>
    </xf>
    <xf numFmtId="0" fontId="0" fillId="34" borderId="36" xfId="0" applyFont="1" applyFill="1" applyBorder="1" applyAlignment="1">
      <alignment horizontal="center"/>
    </xf>
    <xf numFmtId="0" fontId="0" fillId="34" borderId="17" xfId="0" applyFill="1" applyBorder="1" applyAlignment="1">
      <alignment horizontal="center"/>
    </xf>
    <xf numFmtId="0" fontId="53" fillId="12" borderId="37" xfId="0" applyFont="1" applyFill="1" applyBorder="1" applyAlignment="1">
      <alignment/>
    </xf>
    <xf numFmtId="9" fontId="0" fillId="12" borderId="22" xfId="57" applyFont="1" applyFill="1" applyBorder="1" applyAlignment="1">
      <alignment horizontal="center"/>
    </xf>
    <xf numFmtId="0" fontId="61" fillId="33" borderId="0" xfId="0" applyFont="1" applyFill="1" applyAlignment="1">
      <alignment/>
    </xf>
    <xf numFmtId="0" fontId="62" fillId="33" borderId="0" xfId="0" applyFont="1" applyFill="1" applyAlignment="1">
      <alignment/>
    </xf>
    <xf numFmtId="1" fontId="0" fillId="39" borderId="17" xfId="0" applyNumberFormat="1" applyFill="1" applyBorder="1" applyAlignment="1">
      <alignment horizontal="center"/>
    </xf>
    <xf numFmtId="42" fontId="53" fillId="34" borderId="10" xfId="0" applyNumberFormat="1" applyFont="1" applyFill="1" applyBorder="1" applyAlignment="1">
      <alignment horizontal="center" wrapText="1"/>
    </xf>
    <xf numFmtId="0" fontId="4" fillId="34" borderId="38" xfId="0" applyFont="1" applyFill="1" applyBorder="1" applyAlignment="1">
      <alignment/>
    </xf>
    <xf numFmtId="42" fontId="4" fillId="34" borderId="39" xfId="0" applyNumberFormat="1" applyFont="1" applyFill="1" applyBorder="1" applyAlignment="1">
      <alignment/>
    </xf>
    <xf numFmtId="0" fontId="4" fillId="34" borderId="28" xfId="0" applyFont="1" applyFill="1" applyBorder="1" applyAlignment="1">
      <alignment/>
    </xf>
    <xf numFmtId="0" fontId="58" fillId="33" borderId="0" xfId="0" applyFont="1" applyFill="1" applyAlignment="1">
      <alignment/>
    </xf>
    <xf numFmtId="0" fontId="53" fillId="0" borderId="24" xfId="0" applyFont="1" applyFill="1" applyBorder="1" applyAlignment="1">
      <alignment horizontal="center" vertical="center"/>
    </xf>
    <xf numFmtId="2" fontId="0" fillId="0" borderId="12" xfId="0" applyNumberFormat="1" applyFill="1" applyBorder="1" applyAlignment="1">
      <alignment horizontal="center" wrapText="1"/>
    </xf>
    <xf numFmtId="0" fontId="0" fillId="34" borderId="25" xfId="0" applyFill="1" applyBorder="1" applyAlignment="1">
      <alignment horizontal="center"/>
    </xf>
    <xf numFmtId="0" fontId="53" fillId="0" borderId="25" xfId="0" applyFont="1" applyFill="1" applyBorder="1" applyAlignment="1">
      <alignment horizontal="center"/>
    </xf>
    <xf numFmtId="0" fontId="53" fillId="35" borderId="10" xfId="0" applyFont="1" applyFill="1" applyBorder="1" applyAlignment="1">
      <alignment/>
    </xf>
    <xf numFmtId="0" fontId="53" fillId="35" borderId="25" xfId="0" applyFont="1" applyFill="1" applyBorder="1" applyAlignment="1">
      <alignment horizontal="center"/>
    </xf>
    <xf numFmtId="0" fontId="53" fillId="35" borderId="10" xfId="0" applyFont="1" applyFill="1" applyBorder="1" applyAlignment="1">
      <alignment horizontal="center"/>
    </xf>
    <xf numFmtId="0" fontId="53" fillId="35" borderId="28" xfId="0" applyFont="1" applyFill="1" applyBorder="1" applyAlignment="1">
      <alignment horizontal="center"/>
    </xf>
    <xf numFmtId="164" fontId="53" fillId="35" borderId="10" xfId="0" applyNumberFormat="1" applyFont="1" applyFill="1" applyBorder="1" applyAlignment="1">
      <alignment horizontal="center"/>
    </xf>
    <xf numFmtId="44" fontId="53" fillId="35" borderId="10" xfId="44" applyFont="1" applyFill="1" applyBorder="1" applyAlignment="1">
      <alignment horizontal="center"/>
    </xf>
    <xf numFmtId="0" fontId="0" fillId="33" borderId="16" xfId="0" applyFont="1" applyFill="1" applyBorder="1" applyAlignment="1">
      <alignment/>
    </xf>
    <xf numFmtId="0" fontId="53" fillId="33" borderId="24" xfId="0" applyFont="1" applyFill="1" applyBorder="1" applyAlignment="1">
      <alignment/>
    </xf>
    <xf numFmtId="0" fontId="53" fillId="33" borderId="40" xfId="0" applyFont="1" applyFill="1" applyBorder="1" applyAlignment="1">
      <alignment horizontal="center"/>
    </xf>
    <xf numFmtId="0" fontId="0" fillId="33" borderId="31" xfId="0" applyFont="1" applyFill="1" applyBorder="1" applyAlignment="1">
      <alignment/>
    </xf>
    <xf numFmtId="1" fontId="53" fillId="0" borderId="41" xfId="0" applyNumberFormat="1" applyFont="1" applyFill="1" applyBorder="1" applyAlignment="1">
      <alignment horizontal="center"/>
    </xf>
    <xf numFmtId="0" fontId="0" fillId="33" borderId="12" xfId="0" applyFill="1" applyBorder="1" applyAlignment="1">
      <alignment horizontal="center"/>
    </xf>
    <xf numFmtId="0" fontId="0" fillId="33" borderId="42" xfId="0" applyFill="1" applyBorder="1" applyAlignment="1">
      <alignment horizontal="center"/>
    </xf>
    <xf numFmtId="0" fontId="0" fillId="33" borderId="41" xfId="0" applyFont="1" applyFill="1" applyBorder="1" applyAlignment="1">
      <alignment/>
    </xf>
    <xf numFmtId="0" fontId="0" fillId="33" borderId="43" xfId="0" applyFill="1" applyBorder="1" applyAlignment="1">
      <alignment horizontal="center"/>
    </xf>
    <xf numFmtId="0" fontId="0" fillId="33" borderId="16" xfId="0" applyFill="1" applyBorder="1" applyAlignment="1">
      <alignment horizontal="center"/>
    </xf>
    <xf numFmtId="1" fontId="0" fillId="34" borderId="10" xfId="0" applyNumberFormat="1" applyFill="1" applyBorder="1" applyAlignment="1">
      <alignment horizontal="center"/>
    </xf>
    <xf numFmtId="0" fontId="59" fillId="33" borderId="0" xfId="0" applyFont="1" applyFill="1" applyAlignment="1">
      <alignment/>
    </xf>
    <xf numFmtId="0" fontId="53" fillId="33" borderId="0" xfId="0" applyFont="1" applyFill="1" applyBorder="1" applyAlignment="1">
      <alignment/>
    </xf>
    <xf numFmtId="0" fontId="53" fillId="33" borderId="10" xfId="0" applyFont="1" applyFill="1" applyBorder="1" applyAlignment="1">
      <alignment horizontal="left"/>
    </xf>
    <xf numFmtId="0" fontId="0" fillId="33" borderId="26" xfId="0" applyFill="1" applyBorder="1" applyAlignment="1">
      <alignment/>
    </xf>
    <xf numFmtId="0" fontId="0" fillId="33" borderId="44" xfId="0" applyFill="1" applyBorder="1" applyAlignment="1">
      <alignment horizontal="center"/>
    </xf>
    <xf numFmtId="0" fontId="0" fillId="33" borderId="16" xfId="0" applyFill="1" applyBorder="1" applyAlignment="1">
      <alignment/>
    </xf>
    <xf numFmtId="0" fontId="0" fillId="33" borderId="45" xfId="0" applyFill="1" applyBorder="1" applyAlignment="1">
      <alignment horizontal="center"/>
    </xf>
    <xf numFmtId="0" fontId="53" fillId="13" borderId="10" xfId="0" applyFont="1" applyFill="1" applyBorder="1" applyAlignment="1">
      <alignment/>
    </xf>
    <xf numFmtId="0" fontId="53" fillId="13" borderId="25" xfId="0" applyFont="1" applyFill="1" applyBorder="1" applyAlignment="1">
      <alignment horizontal="center"/>
    </xf>
    <xf numFmtId="9" fontId="53" fillId="13" borderId="10" xfId="57" applyFont="1" applyFill="1" applyBorder="1" applyAlignment="1">
      <alignment horizontal="center"/>
    </xf>
    <xf numFmtId="0" fontId="53" fillId="13" borderId="15" xfId="0" applyFont="1" applyFill="1" applyBorder="1" applyAlignment="1">
      <alignment/>
    </xf>
    <xf numFmtId="1" fontId="53" fillId="13" borderId="46" xfId="0" applyNumberFormat="1" applyFont="1" applyFill="1" applyBorder="1" applyAlignment="1">
      <alignment horizontal="center"/>
    </xf>
    <xf numFmtId="1" fontId="53" fillId="34" borderId="46" xfId="0" applyNumberFormat="1" applyFont="1" applyFill="1" applyBorder="1" applyAlignment="1">
      <alignment horizontal="center"/>
    </xf>
    <xf numFmtId="0" fontId="53" fillId="0" borderId="10" xfId="0" applyFont="1" applyFill="1" applyBorder="1" applyAlignment="1">
      <alignment/>
    </xf>
    <xf numFmtId="0" fontId="53" fillId="13" borderId="46" xfId="0" applyFont="1" applyFill="1" applyBorder="1" applyAlignment="1">
      <alignment horizontal="center"/>
    </xf>
    <xf numFmtId="0" fontId="53" fillId="0" borderId="47" xfId="0" applyFont="1" applyBorder="1" applyAlignment="1">
      <alignment horizontal="left"/>
    </xf>
    <xf numFmtId="0" fontId="0" fillId="0" borderId="26" xfId="0" applyBorder="1" applyAlignment="1">
      <alignment horizontal="right"/>
    </xf>
    <xf numFmtId="0" fontId="53" fillId="0" borderId="48" xfId="0" applyFont="1" applyBorder="1" applyAlignment="1">
      <alignment/>
    </xf>
    <xf numFmtId="0" fontId="53" fillId="0" borderId="49" xfId="0" applyFont="1" applyBorder="1" applyAlignment="1">
      <alignment/>
    </xf>
    <xf numFmtId="1" fontId="53" fillId="0" borderId="15" xfId="0" applyNumberFormat="1" applyFont="1" applyFill="1" applyBorder="1" applyAlignment="1">
      <alignment horizontal="center"/>
    </xf>
    <xf numFmtId="0" fontId="53" fillId="33" borderId="10" xfId="0" applyFont="1" applyFill="1" applyBorder="1" applyAlignment="1">
      <alignment wrapText="1"/>
    </xf>
    <xf numFmtId="0" fontId="53" fillId="33" borderId="10" xfId="0" applyFont="1" applyFill="1" applyBorder="1" applyAlignment="1">
      <alignment horizontal="center" wrapText="1"/>
    </xf>
    <xf numFmtId="0" fontId="0" fillId="33" borderId="0" xfId="0" applyFill="1" applyAlignment="1">
      <alignment wrapText="1"/>
    </xf>
    <xf numFmtId="4" fontId="0" fillId="0" borderId="12" xfId="0" applyNumberFormat="1" applyFill="1" applyBorder="1" applyAlignment="1">
      <alignment horizontal="center" vertical="center" wrapText="1"/>
    </xf>
    <xf numFmtId="167" fontId="53" fillId="13" borderId="25" xfId="0" applyNumberFormat="1" applyFont="1" applyFill="1" applyBorder="1" applyAlignment="1">
      <alignment horizontal="center"/>
    </xf>
    <xf numFmtId="0" fontId="53" fillId="33" borderId="0" xfId="0" applyFont="1" applyFill="1" applyBorder="1" applyAlignment="1">
      <alignment horizontal="left"/>
    </xf>
    <xf numFmtId="0" fontId="3" fillId="0" borderId="26" xfId="0" applyFont="1" applyFill="1" applyBorder="1" applyAlignment="1">
      <alignment/>
    </xf>
    <xf numFmtId="44" fontId="3" fillId="0" borderId="11" xfId="44" applyFont="1" applyFill="1" applyBorder="1" applyAlignment="1">
      <alignment/>
    </xf>
    <xf numFmtId="0" fontId="0" fillId="35" borderId="26" xfId="0" applyFont="1" applyFill="1" applyBorder="1" applyAlignment="1">
      <alignment/>
    </xf>
    <xf numFmtId="44" fontId="0" fillId="35" borderId="11" xfId="44" applyFont="1" applyFill="1" applyBorder="1" applyAlignment="1">
      <alignment/>
    </xf>
    <xf numFmtId="44" fontId="0" fillId="35" borderId="19" xfId="44" applyFont="1" applyFill="1" applyBorder="1" applyAlignment="1">
      <alignment/>
    </xf>
    <xf numFmtId="44" fontId="0" fillId="35" borderId="12" xfId="44" applyFont="1" applyFill="1" applyBorder="1" applyAlignment="1">
      <alignment/>
    </xf>
    <xf numFmtId="0" fontId="0" fillId="35" borderId="12" xfId="0" applyFont="1" applyFill="1" applyBorder="1" applyAlignment="1">
      <alignment/>
    </xf>
    <xf numFmtId="0" fontId="0" fillId="35" borderId="12" xfId="0" applyFill="1" applyBorder="1" applyAlignment="1">
      <alignment/>
    </xf>
    <xf numFmtId="44" fontId="53" fillId="35" borderId="13" xfId="44" applyFont="1" applyFill="1" applyBorder="1" applyAlignment="1">
      <alignment horizontal="center"/>
    </xf>
    <xf numFmtId="44" fontId="53" fillId="35" borderId="14" xfId="44" applyFont="1" applyFill="1" applyBorder="1" applyAlignment="1">
      <alignment horizontal="center"/>
    </xf>
    <xf numFmtId="0" fontId="53" fillId="34" borderId="25" xfId="0" applyFont="1" applyFill="1" applyBorder="1" applyAlignment="1">
      <alignment horizontal="center"/>
    </xf>
    <xf numFmtId="0" fontId="53" fillId="34" borderId="10" xfId="0" applyFont="1" applyFill="1" applyBorder="1" applyAlignment="1">
      <alignment horizontal="center"/>
    </xf>
    <xf numFmtId="44" fontId="0" fillId="34" borderId="11" xfId="44" applyFont="1" applyFill="1" applyBorder="1" applyAlignment="1">
      <alignment/>
    </xf>
    <xf numFmtId="44" fontId="3" fillId="34" borderId="11" xfId="44" applyFont="1" applyFill="1" applyBorder="1" applyAlignment="1">
      <alignment/>
    </xf>
    <xf numFmtId="0" fontId="16" fillId="33" borderId="40" xfId="0" applyFont="1" applyFill="1" applyBorder="1" applyAlignment="1">
      <alignment horizontal="justify" vertical="center" wrapText="1"/>
    </xf>
    <xf numFmtId="0" fontId="16" fillId="33" borderId="46" xfId="0" applyFont="1" applyFill="1" applyBorder="1" applyAlignment="1">
      <alignment horizontal="justify" vertical="center" wrapText="1"/>
    </xf>
    <xf numFmtId="0" fontId="16" fillId="33" borderId="40" xfId="0" applyFont="1" applyFill="1" applyBorder="1" applyAlignment="1">
      <alignment vertical="center" wrapText="1"/>
    </xf>
    <xf numFmtId="0" fontId="16" fillId="33" borderId="46" xfId="0" applyFont="1" applyFill="1" applyBorder="1" applyAlignment="1">
      <alignment vertical="center" wrapText="1"/>
    </xf>
    <xf numFmtId="0" fontId="16" fillId="33" borderId="25" xfId="0" applyFont="1" applyFill="1" applyBorder="1" applyAlignment="1">
      <alignment vertical="center" wrapText="1"/>
    </xf>
    <xf numFmtId="0" fontId="16" fillId="33" borderId="45" xfId="0" applyFont="1" applyFill="1" applyBorder="1" applyAlignment="1">
      <alignment vertical="center" wrapText="1"/>
    </xf>
    <xf numFmtId="0" fontId="17" fillId="33" borderId="45" xfId="0" applyFont="1" applyFill="1" applyBorder="1" applyAlignment="1">
      <alignment vertical="center" wrapText="1"/>
    </xf>
    <xf numFmtId="0" fontId="18" fillId="33" borderId="45" xfId="0" applyFont="1" applyFill="1" applyBorder="1" applyAlignment="1">
      <alignment vertical="center" wrapText="1"/>
    </xf>
    <xf numFmtId="0" fontId="3" fillId="33" borderId="15" xfId="0" applyFont="1" applyFill="1" applyBorder="1" applyAlignment="1">
      <alignment vertical="top" wrapText="1"/>
    </xf>
    <xf numFmtId="0" fontId="17" fillId="33" borderId="16" xfId="0" applyFont="1" applyFill="1" applyBorder="1" applyAlignment="1">
      <alignment vertical="center" wrapText="1"/>
    </xf>
    <xf numFmtId="0" fontId="3" fillId="33" borderId="16" xfId="0" applyFont="1" applyFill="1" applyBorder="1" applyAlignment="1">
      <alignment vertical="top" wrapText="1"/>
    </xf>
    <xf numFmtId="0" fontId="4" fillId="34" borderId="50" xfId="0" applyFont="1" applyFill="1" applyBorder="1" applyAlignment="1">
      <alignment/>
    </xf>
    <xf numFmtId="0" fontId="4" fillId="34" borderId="46" xfId="0" applyFont="1" applyFill="1" applyBorder="1" applyAlignment="1">
      <alignment/>
    </xf>
    <xf numFmtId="0" fontId="16" fillId="34" borderId="10" xfId="0" applyFont="1" applyFill="1" applyBorder="1" applyAlignment="1">
      <alignment horizontal="center" vertical="center" wrapText="1"/>
    </xf>
    <xf numFmtId="0" fontId="4" fillId="34" borderId="15" xfId="0" applyFont="1" applyFill="1" applyBorder="1" applyAlignment="1">
      <alignment horizontal="center"/>
    </xf>
    <xf numFmtId="0" fontId="16" fillId="33" borderId="10" xfId="0" applyFont="1" applyFill="1" applyBorder="1" applyAlignment="1">
      <alignment vertical="center" wrapText="1"/>
    </xf>
    <xf numFmtId="0" fontId="16" fillId="33" borderId="24" xfId="0" applyFont="1" applyFill="1" applyBorder="1" applyAlignment="1">
      <alignment vertical="center" wrapText="1"/>
    </xf>
    <xf numFmtId="0" fontId="16" fillId="33" borderId="16" xfId="0" applyFont="1" applyFill="1" applyBorder="1" applyAlignment="1">
      <alignment vertical="center" wrapText="1"/>
    </xf>
    <xf numFmtId="0" fontId="19" fillId="35" borderId="10" xfId="0" applyFont="1" applyFill="1" applyBorder="1" applyAlignment="1">
      <alignment vertical="center" wrapText="1"/>
    </xf>
    <xf numFmtId="0" fontId="19" fillId="35" borderId="10" xfId="0" applyFont="1" applyFill="1" applyBorder="1" applyAlignment="1">
      <alignment horizontal="left" vertical="center" wrapText="1" indent="1"/>
    </xf>
    <xf numFmtId="0" fontId="19" fillId="35" borderId="25" xfId="0" applyFont="1" applyFill="1" applyBorder="1" applyAlignment="1">
      <alignment horizontal="left" vertical="center" wrapText="1" indent="10"/>
    </xf>
    <xf numFmtId="0" fontId="16" fillId="33" borderId="30" xfId="0" applyFont="1" applyFill="1" applyBorder="1" applyAlignment="1">
      <alignment horizontal="center" vertical="center" wrapText="1"/>
    </xf>
    <xf numFmtId="0" fontId="3" fillId="33" borderId="16" xfId="0" applyFont="1" applyFill="1" applyBorder="1" applyAlignment="1">
      <alignment/>
    </xf>
    <xf numFmtId="0" fontId="20" fillId="33" borderId="0" xfId="0" applyFont="1" applyFill="1" applyAlignment="1">
      <alignment/>
    </xf>
    <xf numFmtId="0" fontId="20" fillId="33" borderId="0" xfId="0" applyFont="1" applyFill="1" applyBorder="1" applyAlignment="1">
      <alignment/>
    </xf>
    <xf numFmtId="0" fontId="20" fillId="0" borderId="0" xfId="0" applyFont="1" applyFill="1" applyAlignment="1">
      <alignment/>
    </xf>
    <xf numFmtId="0" fontId="53" fillId="19" borderId="41" xfId="0" applyFont="1" applyFill="1" applyBorder="1" applyAlignment="1">
      <alignment/>
    </xf>
    <xf numFmtId="44" fontId="53" fillId="19" borderId="51" xfId="0" applyNumberFormat="1" applyFont="1" applyFill="1" applyBorder="1" applyAlignment="1">
      <alignment/>
    </xf>
    <xf numFmtId="0" fontId="53" fillId="19" borderId="17" xfId="0" applyFont="1" applyFill="1" applyBorder="1" applyAlignment="1">
      <alignment/>
    </xf>
    <xf numFmtId="44" fontId="53" fillId="19" borderId="52" xfId="0" applyNumberFormat="1" applyFont="1" applyFill="1" applyBorder="1" applyAlignment="1">
      <alignment/>
    </xf>
    <xf numFmtId="0" fontId="0" fillId="33" borderId="42" xfId="0" applyFont="1" applyFill="1" applyBorder="1" applyAlignment="1">
      <alignment horizontal="center" wrapText="1"/>
    </xf>
    <xf numFmtId="165" fontId="0" fillId="33" borderId="35" xfId="0" applyNumberFormat="1" applyFont="1" applyFill="1" applyBorder="1" applyAlignment="1">
      <alignment horizontal="center"/>
    </xf>
    <xf numFmtId="0" fontId="0" fillId="33" borderId="35" xfId="0" applyFont="1" applyFill="1" applyBorder="1" applyAlignment="1">
      <alignment horizontal="center"/>
    </xf>
    <xf numFmtId="0" fontId="0" fillId="33" borderId="35" xfId="0" applyFont="1" applyFill="1" applyBorder="1" applyAlignment="1">
      <alignment horizontal="center" wrapText="1"/>
    </xf>
    <xf numFmtId="0" fontId="0" fillId="33" borderId="36" xfId="0" applyFont="1" applyFill="1" applyBorder="1" applyAlignment="1">
      <alignment horizontal="center" wrapText="1"/>
    </xf>
    <xf numFmtId="0" fontId="0" fillId="33" borderId="17" xfId="0" applyFont="1" applyFill="1" applyBorder="1" applyAlignment="1">
      <alignment/>
    </xf>
    <xf numFmtId="0" fontId="16" fillId="33" borderId="53"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53" fillId="34" borderId="11" xfId="0" applyFont="1" applyFill="1" applyBorder="1" applyAlignment="1">
      <alignment horizontal="center"/>
    </xf>
    <xf numFmtId="0" fontId="3" fillId="39" borderId="17" xfId="0" applyFont="1" applyFill="1" applyBorder="1" applyAlignment="1">
      <alignment horizontal="center"/>
    </xf>
    <xf numFmtId="0" fontId="0" fillId="34" borderId="11" xfId="0" applyFont="1" applyFill="1" applyBorder="1" applyAlignment="1">
      <alignment/>
    </xf>
    <xf numFmtId="0" fontId="0" fillId="34" borderId="18" xfId="0" applyFont="1" applyFill="1" applyBorder="1" applyAlignment="1">
      <alignment horizontal="left"/>
    </xf>
    <xf numFmtId="0" fontId="0" fillId="34" borderId="11" xfId="0" applyFont="1" applyFill="1" applyBorder="1" applyAlignment="1">
      <alignment horizontal="center"/>
    </xf>
    <xf numFmtId="0" fontId="0" fillId="34" borderId="20" xfId="0" applyFill="1" applyBorder="1" applyAlignment="1">
      <alignment horizontal="left"/>
    </xf>
    <xf numFmtId="0" fontId="0" fillId="34" borderId="21" xfId="0" applyFill="1" applyBorder="1" applyAlignment="1">
      <alignment/>
    </xf>
    <xf numFmtId="0" fontId="0" fillId="34" borderId="21" xfId="0" applyFill="1" applyBorder="1" applyAlignment="1">
      <alignment horizontal="center"/>
    </xf>
    <xf numFmtId="0" fontId="53" fillId="34" borderId="21" xfId="0" applyFont="1" applyFill="1" applyBorder="1" applyAlignment="1">
      <alignment horizontal="center"/>
    </xf>
    <xf numFmtId="168" fontId="53" fillId="34" borderId="21" xfId="0" applyNumberFormat="1" applyFont="1" applyFill="1" applyBorder="1" applyAlignment="1">
      <alignment horizontal="center"/>
    </xf>
    <xf numFmtId="43" fontId="0" fillId="34" borderId="54" xfId="42" applyFont="1" applyFill="1" applyBorder="1" applyAlignment="1">
      <alignment horizontal="center"/>
    </xf>
    <xf numFmtId="43" fontId="0" fillId="34" borderId="55" xfId="42" applyFont="1" applyFill="1" applyBorder="1" applyAlignment="1">
      <alignment horizontal="center"/>
    </xf>
    <xf numFmtId="168" fontId="53" fillId="34" borderId="55" xfId="42" applyNumberFormat="1" applyFont="1" applyFill="1" applyBorder="1" applyAlignment="1">
      <alignment horizontal="center"/>
    </xf>
    <xf numFmtId="169" fontId="0" fillId="34" borderId="55" xfId="42" applyNumberFormat="1" applyFont="1" applyFill="1" applyBorder="1" applyAlignment="1">
      <alignment horizontal="center"/>
    </xf>
    <xf numFmtId="168" fontId="53" fillId="34" borderId="11" xfId="0" applyNumberFormat="1" applyFont="1" applyFill="1" applyBorder="1" applyAlignment="1">
      <alignment horizontal="center"/>
    </xf>
    <xf numFmtId="0" fontId="0" fillId="13" borderId="37" xfId="0" applyFill="1" applyBorder="1" applyAlignment="1">
      <alignment/>
    </xf>
    <xf numFmtId="0" fontId="0" fillId="13" borderId="22" xfId="0" applyFill="1" applyBorder="1" applyAlignment="1">
      <alignment horizontal="center"/>
    </xf>
    <xf numFmtId="169" fontId="0" fillId="34" borderId="56" xfId="42" applyNumberFormat="1" applyFont="1" applyFill="1" applyBorder="1" applyAlignment="1">
      <alignment horizontal="center"/>
    </xf>
    <xf numFmtId="0" fontId="0" fillId="34" borderId="19" xfId="0" applyFont="1" applyFill="1" applyBorder="1" applyAlignment="1">
      <alignment horizontal="center"/>
    </xf>
    <xf numFmtId="0" fontId="0" fillId="34" borderId="57" xfId="0" applyFill="1" applyBorder="1" applyAlignment="1">
      <alignment horizontal="center"/>
    </xf>
    <xf numFmtId="169" fontId="0" fillId="34" borderId="41" xfId="42" applyNumberFormat="1" applyFont="1" applyFill="1" applyBorder="1" applyAlignment="1">
      <alignment horizontal="center"/>
    </xf>
    <xf numFmtId="0" fontId="0" fillId="34" borderId="12" xfId="0" applyFont="1" applyFill="1" applyBorder="1" applyAlignment="1">
      <alignment horizontal="center"/>
    </xf>
    <xf numFmtId="170" fontId="3" fillId="33" borderId="58" xfId="44" applyNumberFormat="1" applyFont="1" applyFill="1" applyBorder="1" applyAlignment="1">
      <alignment horizontal="center" vertical="center"/>
    </xf>
    <xf numFmtId="170" fontId="3" fillId="33" borderId="12" xfId="0" applyNumberFormat="1" applyFont="1" applyFill="1" applyBorder="1" applyAlignment="1">
      <alignment horizontal="center" vertical="center"/>
    </xf>
    <xf numFmtId="170" fontId="3" fillId="33" borderId="58" xfId="0" applyNumberFormat="1" applyFont="1" applyFill="1" applyBorder="1" applyAlignment="1">
      <alignment horizontal="center" vertical="center"/>
    </xf>
    <xf numFmtId="170" fontId="4" fillId="34" borderId="58" xfId="0" applyNumberFormat="1" applyFont="1" applyFill="1" applyBorder="1" applyAlignment="1">
      <alignment horizontal="center" vertical="center"/>
    </xf>
    <xf numFmtId="170" fontId="4" fillId="34" borderId="12" xfId="0" applyNumberFormat="1" applyFont="1" applyFill="1" applyBorder="1" applyAlignment="1">
      <alignment horizontal="center" vertical="center"/>
    </xf>
    <xf numFmtId="170" fontId="4" fillId="34" borderId="52" xfId="0" applyNumberFormat="1" applyFont="1" applyFill="1" applyBorder="1" applyAlignment="1">
      <alignment horizontal="center" vertical="center"/>
    </xf>
    <xf numFmtId="170" fontId="4" fillId="34" borderId="17" xfId="0" applyNumberFormat="1" applyFont="1" applyFill="1" applyBorder="1" applyAlignment="1">
      <alignment horizontal="center" vertical="center"/>
    </xf>
    <xf numFmtId="170" fontId="3" fillId="33" borderId="59" xfId="0" applyNumberFormat="1" applyFont="1" applyFill="1" applyBorder="1" applyAlignment="1">
      <alignment horizontal="center" vertical="center"/>
    </xf>
    <xf numFmtId="170" fontId="3" fillId="0" borderId="58" xfId="0" applyNumberFormat="1" applyFont="1" applyFill="1" applyBorder="1" applyAlignment="1">
      <alignment horizontal="center" vertical="center"/>
    </xf>
    <xf numFmtId="170" fontId="3" fillId="0" borderId="12" xfId="0" applyNumberFormat="1" applyFont="1" applyFill="1" applyBorder="1" applyAlignment="1">
      <alignment horizontal="center" vertical="center"/>
    </xf>
    <xf numFmtId="170" fontId="4" fillId="34" borderId="58" xfId="44" applyNumberFormat="1" applyFont="1" applyFill="1" applyBorder="1" applyAlignment="1">
      <alignment horizontal="center" vertical="center"/>
    </xf>
    <xf numFmtId="0" fontId="4" fillId="35" borderId="29" xfId="0" applyFont="1" applyFill="1" applyBorder="1" applyAlignment="1">
      <alignment horizontal="center" vertical="center"/>
    </xf>
    <xf numFmtId="165" fontId="4" fillId="35" borderId="30" xfId="0" applyNumberFormat="1" applyFont="1" applyFill="1" applyBorder="1" applyAlignment="1">
      <alignment horizontal="center" vertical="center"/>
    </xf>
    <xf numFmtId="0" fontId="4" fillId="35" borderId="30" xfId="0" applyFont="1" applyFill="1" applyBorder="1" applyAlignment="1" quotePrefix="1">
      <alignment horizontal="center" vertical="center"/>
    </xf>
    <xf numFmtId="165" fontId="4" fillId="35" borderId="10" xfId="0" applyNumberFormat="1" applyFont="1" applyFill="1" applyBorder="1" applyAlignment="1">
      <alignment horizontal="center" vertical="center"/>
    </xf>
    <xf numFmtId="0" fontId="53" fillId="33" borderId="48" xfId="0" applyFont="1" applyFill="1" applyBorder="1" applyAlignment="1">
      <alignment horizontal="left" vertical="center"/>
    </xf>
    <xf numFmtId="0" fontId="53" fillId="33" borderId="33" xfId="0" applyFont="1" applyFill="1" applyBorder="1" applyAlignment="1">
      <alignment horizontal="left" vertical="center"/>
    </xf>
    <xf numFmtId="0" fontId="0" fillId="36" borderId="33" xfId="0" applyFill="1" applyBorder="1" applyAlignment="1">
      <alignment vertical="center"/>
    </xf>
    <xf numFmtId="0" fontId="0" fillId="14" borderId="33" xfId="0" applyFill="1" applyBorder="1" applyAlignment="1">
      <alignment vertical="center"/>
    </xf>
    <xf numFmtId="0" fontId="0" fillId="37" borderId="60" xfId="0" applyFont="1" applyFill="1" applyBorder="1" applyAlignment="1">
      <alignment horizontal="left" vertical="center"/>
    </xf>
    <xf numFmtId="0" fontId="4" fillId="35" borderId="37" xfId="0" applyFont="1" applyFill="1" applyBorder="1" applyAlignment="1">
      <alignment horizontal="center" vertical="center"/>
    </xf>
    <xf numFmtId="165" fontId="0" fillId="14" borderId="18" xfId="0" applyNumberFormat="1" applyFill="1" applyBorder="1" applyAlignment="1">
      <alignment horizontal="center"/>
    </xf>
    <xf numFmtId="2" fontId="4" fillId="38" borderId="25" xfId="0" applyNumberFormat="1" applyFont="1" applyFill="1" applyBorder="1" applyAlignment="1">
      <alignment horizontal="center" vertical="center"/>
    </xf>
    <xf numFmtId="0" fontId="53" fillId="33" borderId="29" xfId="0" applyFont="1" applyFill="1" applyBorder="1" applyAlignment="1">
      <alignment horizontal="center" vertical="center" wrapText="1"/>
    </xf>
    <xf numFmtId="0" fontId="53" fillId="33" borderId="10" xfId="0" applyFont="1" applyFill="1" applyBorder="1" applyAlignment="1">
      <alignment horizontal="center" vertical="center" wrapText="1"/>
    </xf>
    <xf numFmtId="168" fontId="20" fillId="0" borderId="0" xfId="0" applyNumberFormat="1" applyFont="1" applyFill="1" applyAlignment="1">
      <alignment/>
    </xf>
    <xf numFmtId="168" fontId="0" fillId="33" borderId="0" xfId="0" applyNumberFormat="1" applyFill="1" applyAlignment="1">
      <alignment/>
    </xf>
    <xf numFmtId="168" fontId="56" fillId="33" borderId="0" xfId="0" applyNumberFormat="1" applyFont="1" applyFill="1" applyAlignment="1">
      <alignment/>
    </xf>
    <xf numFmtId="168" fontId="0" fillId="33" borderId="0" xfId="0" applyNumberFormat="1" applyFill="1" applyBorder="1" applyAlignment="1">
      <alignment/>
    </xf>
    <xf numFmtId="168" fontId="53" fillId="33" borderId="10" xfId="0" applyNumberFormat="1" applyFont="1" applyFill="1" applyBorder="1" applyAlignment="1">
      <alignment/>
    </xf>
    <xf numFmtId="168" fontId="53" fillId="34" borderId="25" xfId="0" applyNumberFormat="1" applyFont="1" applyFill="1" applyBorder="1" applyAlignment="1">
      <alignment horizontal="center"/>
    </xf>
    <xf numFmtId="168" fontId="53" fillId="34" borderId="10" xfId="0" applyNumberFormat="1" applyFont="1" applyFill="1" applyBorder="1" applyAlignment="1">
      <alignment horizontal="center"/>
    </xf>
    <xf numFmtId="168" fontId="53" fillId="33" borderId="10" xfId="0" applyNumberFormat="1" applyFont="1" applyFill="1" applyBorder="1" applyAlignment="1">
      <alignment horizontal="center"/>
    </xf>
    <xf numFmtId="168" fontId="53" fillId="33" borderId="28" xfId="0" applyNumberFormat="1" applyFont="1" applyFill="1" applyBorder="1" applyAlignment="1">
      <alignment horizontal="center"/>
    </xf>
    <xf numFmtId="168" fontId="0" fillId="33" borderId="26" xfId="0" applyNumberFormat="1" applyFont="1" applyFill="1" applyBorder="1" applyAlignment="1">
      <alignment/>
    </xf>
    <xf numFmtId="168" fontId="3" fillId="34" borderId="58" xfId="44" applyNumberFormat="1" applyFont="1" applyFill="1" applyBorder="1" applyAlignment="1">
      <alignment/>
    </xf>
    <xf numFmtId="168" fontId="53" fillId="34" borderId="61" xfId="0" applyNumberFormat="1" applyFont="1" applyFill="1" applyBorder="1" applyAlignment="1">
      <alignment horizontal="center"/>
    </xf>
    <xf numFmtId="168" fontId="53" fillId="33" borderId="61" xfId="0" applyNumberFormat="1" applyFont="1" applyFill="1" applyBorder="1" applyAlignment="1">
      <alignment horizontal="center"/>
    </xf>
    <xf numFmtId="168" fontId="53" fillId="33" borderId="62" xfId="0" applyNumberFormat="1" applyFont="1" applyFill="1" applyBorder="1" applyAlignment="1">
      <alignment horizontal="center"/>
    </xf>
    <xf numFmtId="168" fontId="63" fillId="33" borderId="0" xfId="0" applyNumberFormat="1" applyFont="1" applyFill="1" applyBorder="1" applyAlignment="1">
      <alignment vertical="center"/>
    </xf>
    <xf numFmtId="168" fontId="0" fillId="33" borderId="0" xfId="42" applyNumberFormat="1" applyFont="1" applyFill="1" applyBorder="1" applyAlignment="1">
      <alignment/>
    </xf>
    <xf numFmtId="168" fontId="0" fillId="33" borderId="12" xfId="0" applyNumberFormat="1" applyFont="1" applyFill="1" applyBorder="1" applyAlignment="1">
      <alignment/>
    </xf>
    <xf numFmtId="168" fontId="53" fillId="33" borderId="11" xfId="0" applyNumberFormat="1" applyFont="1" applyFill="1" applyBorder="1" applyAlignment="1">
      <alignment horizontal="center"/>
    </xf>
    <xf numFmtId="168" fontId="53" fillId="33" borderId="19" xfId="0" applyNumberFormat="1" applyFont="1" applyFill="1" applyBorder="1" applyAlignment="1">
      <alignment horizontal="center"/>
    </xf>
    <xf numFmtId="168" fontId="3" fillId="34" borderId="11" xfId="44" applyNumberFormat="1" applyFont="1" applyFill="1" applyBorder="1" applyAlignment="1">
      <alignment/>
    </xf>
    <xf numFmtId="168" fontId="3" fillId="0" borderId="11" xfId="44" applyNumberFormat="1" applyFont="1" applyFill="1" applyBorder="1" applyAlignment="1">
      <alignment/>
    </xf>
    <xf numFmtId="168" fontId="3" fillId="0" borderId="19" xfId="44" applyNumberFormat="1" applyFont="1" applyFill="1" applyBorder="1" applyAlignment="1">
      <alignment/>
    </xf>
    <xf numFmtId="168" fontId="3" fillId="34" borderId="59" xfId="44" applyNumberFormat="1" applyFont="1" applyFill="1" applyBorder="1" applyAlignment="1">
      <alignment/>
    </xf>
    <xf numFmtId="168" fontId="3" fillId="0" borderId="59" xfId="44" applyNumberFormat="1" applyFont="1" applyFill="1" applyBorder="1" applyAlignment="1">
      <alignment/>
    </xf>
    <xf numFmtId="168" fontId="0" fillId="0" borderId="58" xfId="44" applyNumberFormat="1" applyFont="1" applyFill="1" applyBorder="1" applyAlignment="1">
      <alignment/>
    </xf>
    <xf numFmtId="168" fontId="0" fillId="0" borderId="63" xfId="44" applyNumberFormat="1" applyFont="1" applyFill="1" applyBorder="1" applyAlignment="1">
      <alignment/>
    </xf>
    <xf numFmtId="168" fontId="0" fillId="33" borderId="26" xfId="0" applyNumberFormat="1" applyFill="1" applyBorder="1" applyAlignment="1">
      <alignment/>
    </xf>
    <xf numFmtId="168" fontId="53" fillId="34" borderId="10" xfId="0" applyNumberFormat="1" applyFont="1" applyFill="1" applyBorder="1" applyAlignment="1">
      <alignment/>
    </xf>
    <xf numFmtId="168" fontId="53" fillId="34" borderId="25" xfId="0" applyNumberFormat="1" applyFont="1" applyFill="1" applyBorder="1" applyAlignment="1">
      <alignment/>
    </xf>
    <xf numFmtId="168" fontId="53" fillId="34" borderId="10" xfId="44" applyNumberFormat="1" applyFont="1" applyFill="1" applyBorder="1" applyAlignment="1">
      <alignment horizontal="center"/>
    </xf>
    <xf numFmtId="168" fontId="0" fillId="33" borderId="0" xfId="0" applyNumberFormat="1" applyFont="1" applyFill="1" applyBorder="1" applyAlignment="1">
      <alignment/>
    </xf>
    <xf numFmtId="168" fontId="53" fillId="33" borderId="0" xfId="0" applyNumberFormat="1" applyFont="1" applyFill="1" applyBorder="1" applyAlignment="1">
      <alignment horizontal="center"/>
    </xf>
    <xf numFmtId="168" fontId="53" fillId="33" borderId="0" xfId="0" applyNumberFormat="1" applyFont="1" applyFill="1" applyAlignment="1">
      <alignment/>
    </xf>
    <xf numFmtId="168" fontId="0" fillId="33" borderId="0" xfId="42" applyNumberFormat="1" applyFont="1" applyFill="1" applyAlignment="1">
      <alignment/>
    </xf>
    <xf numFmtId="168" fontId="53" fillId="33" borderId="0" xfId="42" applyNumberFormat="1" applyFont="1" applyFill="1" applyAlignment="1">
      <alignment/>
    </xf>
    <xf numFmtId="168" fontId="53" fillId="33" borderId="24" xfId="0" applyNumberFormat="1" applyFont="1" applyFill="1" applyBorder="1" applyAlignment="1">
      <alignment/>
    </xf>
    <xf numFmtId="168" fontId="53" fillId="34" borderId="40" xfId="0" applyNumberFormat="1" applyFont="1" applyFill="1" applyBorder="1" applyAlignment="1">
      <alignment horizontal="center"/>
    </xf>
    <xf numFmtId="168" fontId="53" fillId="34" borderId="24" xfId="0" applyNumberFormat="1" applyFont="1" applyFill="1" applyBorder="1" applyAlignment="1">
      <alignment horizontal="center"/>
    </xf>
    <xf numFmtId="168" fontId="53" fillId="33" borderId="24" xfId="0" applyNumberFormat="1" applyFont="1" applyFill="1" applyBorder="1" applyAlignment="1">
      <alignment horizontal="center"/>
    </xf>
    <xf numFmtId="168" fontId="53" fillId="33" borderId="38" xfId="0" applyNumberFormat="1" applyFont="1" applyFill="1" applyBorder="1" applyAlignment="1">
      <alignment horizontal="center"/>
    </xf>
    <xf numFmtId="168" fontId="0" fillId="33" borderId="41" xfId="0" applyNumberFormat="1" applyFont="1" applyFill="1" applyBorder="1" applyAlignment="1">
      <alignment/>
    </xf>
    <xf numFmtId="168" fontId="3" fillId="34" borderId="51" xfId="44" applyNumberFormat="1" applyFont="1" applyFill="1" applyBorder="1" applyAlignment="1">
      <alignment/>
    </xf>
    <xf numFmtId="168" fontId="3" fillId="34" borderId="55" xfId="44" applyNumberFormat="1" applyFont="1" applyFill="1" applyBorder="1" applyAlignment="1">
      <alignment/>
    </xf>
    <xf numFmtId="168" fontId="3" fillId="0" borderId="55" xfId="44" applyNumberFormat="1" applyFont="1" applyFill="1" applyBorder="1" applyAlignment="1">
      <alignment/>
    </xf>
    <xf numFmtId="168" fontId="3" fillId="0" borderId="58" xfId="44" applyNumberFormat="1" applyFont="1" applyFill="1" applyBorder="1" applyAlignment="1">
      <alignment/>
    </xf>
    <xf numFmtId="168" fontId="0" fillId="33" borderId="17" xfId="0" applyNumberFormat="1" applyFont="1" applyFill="1" applyBorder="1" applyAlignment="1">
      <alignment/>
    </xf>
    <xf numFmtId="168" fontId="3" fillId="34" borderId="52" xfId="44" applyNumberFormat="1" applyFont="1" applyFill="1" applyBorder="1" applyAlignment="1">
      <alignment/>
    </xf>
    <xf numFmtId="168" fontId="3" fillId="34" borderId="21" xfId="44" applyNumberFormat="1" applyFont="1" applyFill="1" applyBorder="1" applyAlignment="1">
      <alignment/>
    </xf>
    <xf numFmtId="168" fontId="3" fillId="33" borderId="21" xfId="44" applyNumberFormat="1" applyFont="1" applyFill="1" applyBorder="1" applyAlignment="1">
      <alignment/>
    </xf>
    <xf numFmtId="168" fontId="4" fillId="0" borderId="10" xfId="0" applyNumberFormat="1" applyFont="1" applyFill="1" applyBorder="1" applyAlignment="1">
      <alignment/>
    </xf>
    <xf numFmtId="168" fontId="4" fillId="34" borderId="25" xfId="0" applyNumberFormat="1" applyFont="1" applyFill="1" applyBorder="1" applyAlignment="1">
      <alignment horizontal="center"/>
    </xf>
    <xf numFmtId="168" fontId="4" fillId="34" borderId="10" xfId="0" applyNumberFormat="1" applyFont="1" applyFill="1" applyBorder="1" applyAlignment="1">
      <alignment horizontal="center"/>
    </xf>
    <xf numFmtId="168" fontId="4" fillId="0" borderId="10" xfId="0" applyNumberFormat="1" applyFont="1" applyFill="1" applyBorder="1" applyAlignment="1">
      <alignment horizontal="center"/>
    </xf>
    <xf numFmtId="168" fontId="4" fillId="0" borderId="28" xfId="0" applyNumberFormat="1" applyFont="1" applyFill="1" applyBorder="1" applyAlignment="1">
      <alignment horizontal="center"/>
    </xf>
    <xf numFmtId="168" fontId="3" fillId="0" borderId="64" xfId="0" applyNumberFormat="1" applyFont="1" applyFill="1" applyBorder="1" applyAlignment="1">
      <alignment/>
    </xf>
    <xf numFmtId="168" fontId="3" fillId="34" borderId="61" xfId="44" applyNumberFormat="1" applyFont="1" applyFill="1" applyBorder="1" applyAlignment="1">
      <alignment/>
    </xf>
    <xf numFmtId="168" fontId="3" fillId="0" borderId="18" xfId="0" applyNumberFormat="1" applyFont="1" applyFill="1" applyBorder="1" applyAlignment="1">
      <alignment/>
    </xf>
    <xf numFmtId="168" fontId="3" fillId="0" borderId="61" xfId="44" applyNumberFormat="1" applyFont="1" applyFill="1" applyBorder="1" applyAlignment="1">
      <alignment/>
    </xf>
    <xf numFmtId="168" fontId="0" fillId="33" borderId="65" xfId="0" applyNumberFormat="1" applyFill="1" applyBorder="1" applyAlignment="1">
      <alignment/>
    </xf>
    <xf numFmtId="168" fontId="3" fillId="34" borderId="66" xfId="44" applyNumberFormat="1" applyFont="1" applyFill="1" applyBorder="1" applyAlignment="1">
      <alignment/>
    </xf>
    <xf numFmtId="168" fontId="3" fillId="34" borderId="32" xfId="44" applyNumberFormat="1" applyFont="1" applyFill="1" applyBorder="1" applyAlignment="1">
      <alignment/>
    </xf>
    <xf numFmtId="168" fontId="4" fillId="34" borderId="10" xfId="0" applyNumberFormat="1" applyFont="1" applyFill="1" applyBorder="1" applyAlignment="1">
      <alignment/>
    </xf>
    <xf numFmtId="168" fontId="4" fillId="34" borderId="29" xfId="44" applyNumberFormat="1" applyFont="1" applyFill="1" applyBorder="1" applyAlignment="1">
      <alignment horizontal="center"/>
    </xf>
    <xf numFmtId="168" fontId="4" fillId="34" borderId="10" xfId="44" applyNumberFormat="1" applyFont="1" applyFill="1" applyBorder="1" applyAlignment="1">
      <alignment horizontal="center"/>
    </xf>
    <xf numFmtId="168" fontId="4" fillId="33" borderId="10" xfId="0" applyNumberFormat="1" applyFont="1" applyFill="1" applyBorder="1" applyAlignment="1">
      <alignment/>
    </xf>
    <xf numFmtId="168" fontId="4" fillId="33" borderId="10" xfId="0" applyNumberFormat="1" applyFont="1" applyFill="1" applyBorder="1" applyAlignment="1">
      <alignment horizontal="center"/>
    </xf>
    <xf numFmtId="168" fontId="4" fillId="33" borderId="28" xfId="0" applyNumberFormat="1" applyFont="1" applyFill="1" applyBorder="1" applyAlignment="1">
      <alignment horizontal="center"/>
    </xf>
    <xf numFmtId="44" fontId="53" fillId="19" borderId="67" xfId="0" applyNumberFormat="1" applyFont="1" applyFill="1" applyBorder="1" applyAlignment="1">
      <alignment/>
    </xf>
    <xf numFmtId="44" fontId="53" fillId="19" borderId="68" xfId="0" applyNumberFormat="1" applyFont="1" applyFill="1" applyBorder="1" applyAlignment="1">
      <alignment/>
    </xf>
    <xf numFmtId="44" fontId="53" fillId="19" borderId="41" xfId="0" applyNumberFormat="1" applyFont="1" applyFill="1" applyBorder="1" applyAlignment="1">
      <alignment/>
    </xf>
    <xf numFmtId="44" fontId="53" fillId="19" borderId="17" xfId="0" applyNumberFormat="1" applyFont="1" applyFill="1" applyBorder="1" applyAlignment="1">
      <alignment/>
    </xf>
    <xf numFmtId="168" fontId="3" fillId="0" borderId="56" xfId="44" applyNumberFormat="1" applyFont="1" applyFill="1" applyBorder="1" applyAlignment="1">
      <alignment/>
    </xf>
    <xf numFmtId="168" fontId="3" fillId="0" borderId="63" xfId="44" applyNumberFormat="1" applyFont="1" applyFill="1" applyBorder="1" applyAlignment="1">
      <alignment/>
    </xf>
    <xf numFmtId="168" fontId="3" fillId="33" borderId="57" xfId="44" applyNumberFormat="1" applyFont="1" applyFill="1" applyBorder="1" applyAlignment="1">
      <alignment/>
    </xf>
    <xf numFmtId="168" fontId="53" fillId="38" borderId="49" xfId="0" applyNumberFormat="1" applyFont="1" applyFill="1" applyBorder="1" applyAlignment="1">
      <alignment/>
    </xf>
    <xf numFmtId="0" fontId="64" fillId="33" borderId="64" xfId="0" applyFont="1" applyFill="1" applyBorder="1" applyAlignment="1">
      <alignment horizontal="left" vertical="center" wrapText="1"/>
    </xf>
    <xf numFmtId="0" fontId="64" fillId="33" borderId="47" xfId="0" applyFont="1" applyFill="1" applyBorder="1" applyAlignment="1">
      <alignment horizontal="left" vertical="center" wrapText="1"/>
    </xf>
    <xf numFmtId="0" fontId="64" fillId="33" borderId="26" xfId="0" applyFont="1" applyFill="1" applyBorder="1" applyAlignment="1">
      <alignment horizontal="left" vertical="center" wrapText="1"/>
    </xf>
    <xf numFmtId="0" fontId="64" fillId="33" borderId="65"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1" xfId="0" applyFont="1" applyFill="1" applyBorder="1" applyAlignment="1">
      <alignment horizontal="left" vertical="center" wrapText="1"/>
    </xf>
    <xf numFmtId="0" fontId="64" fillId="33" borderId="54" xfId="0" applyFont="1" applyFill="1" applyBorder="1" applyAlignment="1">
      <alignment horizontal="left" vertical="center" wrapText="1"/>
    </xf>
    <xf numFmtId="0" fontId="64" fillId="33" borderId="55" xfId="0" applyFont="1" applyFill="1" applyBorder="1" applyAlignment="1">
      <alignment vertical="center" wrapText="1"/>
    </xf>
    <xf numFmtId="0" fontId="64" fillId="33" borderId="55" xfId="0" applyFont="1" applyFill="1" applyBorder="1" applyAlignment="1">
      <alignment horizontal="center" vertical="center" wrapText="1"/>
    </xf>
    <xf numFmtId="164" fontId="64" fillId="33" borderId="55" xfId="42" applyNumberFormat="1" applyFont="1" applyFill="1" applyBorder="1" applyAlignment="1">
      <alignment horizontal="center" vertical="center" wrapText="1"/>
    </xf>
    <xf numFmtId="3" fontId="64" fillId="33" borderId="55" xfId="0" applyNumberFormat="1" applyFont="1" applyFill="1" applyBorder="1" applyAlignment="1">
      <alignment horizontal="right" vertical="center" wrapText="1"/>
    </xf>
    <xf numFmtId="168" fontId="64" fillId="33" borderId="55" xfId="0" applyNumberFormat="1" applyFont="1" applyFill="1" applyBorder="1" applyAlignment="1">
      <alignment horizontal="center" vertical="center" wrapText="1"/>
    </xf>
    <xf numFmtId="0" fontId="64" fillId="33" borderId="56"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18" xfId="0" applyFont="1" applyFill="1" applyBorder="1" applyAlignment="1">
      <alignment horizontal="left" vertical="center" wrapText="1"/>
    </xf>
    <xf numFmtId="0" fontId="64" fillId="33" borderId="11" xfId="0" applyFont="1" applyFill="1" applyBorder="1" applyAlignment="1">
      <alignment vertical="center" wrapText="1"/>
    </xf>
    <xf numFmtId="0" fontId="64" fillId="33" borderId="11" xfId="0" applyFont="1" applyFill="1" applyBorder="1" applyAlignment="1">
      <alignment horizontal="center" vertical="center" wrapText="1"/>
    </xf>
    <xf numFmtId="164" fontId="64" fillId="33" borderId="11" xfId="42" applyNumberFormat="1" applyFont="1" applyFill="1" applyBorder="1" applyAlignment="1">
      <alignment horizontal="center" vertical="center" wrapText="1"/>
    </xf>
    <xf numFmtId="164" fontId="64" fillId="33" borderId="11" xfId="42" applyNumberFormat="1" applyFont="1" applyFill="1" applyBorder="1" applyAlignment="1">
      <alignment horizontal="right" vertical="center" wrapText="1"/>
    </xf>
    <xf numFmtId="168" fontId="64" fillId="33" borderId="11"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1" xfId="0" applyFont="1" applyFill="1" applyBorder="1" applyAlignment="1">
      <alignment horizontal="left" vertical="center" wrapText="1"/>
    </xf>
    <xf numFmtId="0" fontId="64" fillId="33" borderId="66" xfId="0" applyFont="1" applyFill="1" applyBorder="1" applyAlignment="1">
      <alignment vertical="center" wrapText="1"/>
    </xf>
    <xf numFmtId="0" fontId="64" fillId="33" borderId="66" xfId="0" applyFont="1" applyFill="1" applyBorder="1" applyAlignment="1">
      <alignment horizontal="center" vertical="center" wrapText="1"/>
    </xf>
    <xf numFmtId="164" fontId="64" fillId="33" borderId="66" xfId="42" applyNumberFormat="1" applyFont="1" applyFill="1" applyBorder="1" applyAlignment="1">
      <alignment horizontal="center" vertical="center" wrapText="1"/>
    </xf>
    <xf numFmtId="164" fontId="64" fillId="33" borderId="66" xfId="42" applyNumberFormat="1" applyFont="1" applyFill="1" applyBorder="1" applyAlignment="1">
      <alignment horizontal="right" vertical="center" wrapText="1"/>
    </xf>
    <xf numFmtId="168" fontId="64" fillId="33" borderId="66" xfId="0" applyNumberFormat="1" applyFont="1" applyFill="1" applyBorder="1" applyAlignment="1">
      <alignment horizontal="center" vertical="center" wrapText="1"/>
    </xf>
    <xf numFmtId="0" fontId="64" fillId="33" borderId="69"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5" fillId="33" borderId="37" xfId="0" applyFont="1" applyFill="1" applyBorder="1" applyAlignment="1">
      <alignment horizontal="left" vertical="center" wrapText="1"/>
    </xf>
    <xf numFmtId="0" fontId="66" fillId="33" borderId="37"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6" fillId="33" borderId="10" xfId="0" applyFont="1" applyFill="1" applyBorder="1" applyAlignment="1">
      <alignment horizontal="left" vertical="center" wrapText="1"/>
    </xf>
    <xf numFmtId="0" fontId="56" fillId="40" borderId="0" xfId="0" applyFont="1" applyFill="1" applyAlignment="1">
      <alignment/>
    </xf>
    <xf numFmtId="168" fontId="56" fillId="40" borderId="0" xfId="0" applyNumberFormat="1" applyFont="1" applyFill="1" applyAlignment="1">
      <alignment/>
    </xf>
    <xf numFmtId="168" fontId="23" fillId="0" borderId="31" xfId="0" applyNumberFormat="1" applyFont="1" applyFill="1" applyBorder="1" applyAlignment="1">
      <alignment/>
    </xf>
    <xf numFmtId="168" fontId="3" fillId="34" borderId="29" xfId="44" applyNumberFormat="1" applyFont="1" applyFill="1" applyBorder="1" applyAlignment="1">
      <alignment horizontal="center"/>
    </xf>
    <xf numFmtId="168" fontId="3" fillId="34" borderId="10" xfId="44" applyNumberFormat="1" applyFont="1" applyFill="1" applyBorder="1" applyAlignment="1">
      <alignment horizontal="center"/>
    </xf>
    <xf numFmtId="168" fontId="0" fillId="34" borderId="10" xfId="0" applyNumberFormat="1" applyFont="1" applyFill="1" applyBorder="1" applyAlignment="1">
      <alignment/>
    </xf>
    <xf numFmtId="168" fontId="0" fillId="34" borderId="25" xfId="0" applyNumberFormat="1" applyFont="1" applyFill="1" applyBorder="1" applyAlignment="1">
      <alignment/>
    </xf>
    <xf numFmtId="168" fontId="0" fillId="34" borderId="30" xfId="0" applyNumberFormat="1" applyFont="1" applyFill="1" applyBorder="1" applyAlignment="1">
      <alignment/>
    </xf>
    <xf numFmtId="168" fontId="0" fillId="34" borderId="10" xfId="44" applyNumberFormat="1" applyFont="1" applyFill="1" applyBorder="1" applyAlignment="1">
      <alignment horizontal="center"/>
    </xf>
    <xf numFmtId="168" fontId="0" fillId="34" borderId="46" xfId="0" applyNumberFormat="1" applyFont="1" applyFill="1" applyBorder="1" applyAlignment="1">
      <alignment/>
    </xf>
    <xf numFmtId="168" fontId="0" fillId="34" borderId="50" xfId="0" applyNumberFormat="1" applyFont="1" applyFill="1" applyBorder="1" applyAlignment="1">
      <alignment/>
    </xf>
    <xf numFmtId="168" fontId="3" fillId="34" borderId="30" xfId="44" applyNumberFormat="1" applyFont="1" applyFill="1" applyBorder="1" applyAlignment="1">
      <alignment horizontal="center"/>
    </xf>
    <xf numFmtId="0" fontId="16" fillId="33" borderId="24" xfId="0" applyFont="1" applyFill="1" applyBorder="1" applyAlignment="1">
      <alignment vertical="center" wrapText="1"/>
    </xf>
    <xf numFmtId="0" fontId="16" fillId="33" borderId="15" xfId="0" applyFont="1" applyFill="1" applyBorder="1" applyAlignment="1">
      <alignment vertical="center" wrapText="1"/>
    </xf>
    <xf numFmtId="0" fontId="16" fillId="33" borderId="53"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3" borderId="40" xfId="0" applyFont="1" applyFill="1" applyBorder="1" applyAlignment="1">
      <alignment vertical="center" wrapText="1"/>
    </xf>
    <xf numFmtId="0" fontId="16" fillId="33" borderId="46" xfId="0" applyFont="1" applyFill="1" applyBorder="1" applyAlignment="1">
      <alignment vertical="center" wrapText="1"/>
    </xf>
    <xf numFmtId="0" fontId="16" fillId="33" borderId="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66" fillId="33" borderId="28"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25" xfId="0" applyFont="1" applyBorder="1" applyAlignment="1">
      <alignment horizontal="left" vertical="center" wrapText="1"/>
    </xf>
    <xf numFmtId="0" fontId="66" fillId="33" borderId="28"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5" xfId="0" applyFont="1" applyBorder="1" applyAlignment="1">
      <alignment horizontal="center" vertical="center" wrapText="1"/>
    </xf>
    <xf numFmtId="44" fontId="4" fillId="34" borderId="28" xfId="0" applyNumberFormat="1" applyFont="1" applyFill="1" applyBorder="1" applyAlignment="1">
      <alignment horizontal="center"/>
    </xf>
    <xf numFmtId="0" fontId="0" fillId="34" borderId="25" xfId="0" applyFill="1" applyBorder="1" applyAlignment="1">
      <alignment horizontal="center"/>
    </xf>
    <xf numFmtId="168" fontId="53" fillId="34" borderId="50" xfId="0" applyNumberFormat="1" applyFont="1" applyFill="1" applyBorder="1" applyAlignment="1">
      <alignment horizontal="center" vertical="center"/>
    </xf>
    <xf numFmtId="168" fontId="0" fillId="34" borderId="50" xfId="0" applyNumberFormat="1" applyFill="1" applyBorder="1" applyAlignment="1">
      <alignment horizontal="center" vertical="center"/>
    </xf>
    <xf numFmtId="168" fontId="53" fillId="38" borderId="49" xfId="0" applyNumberFormat="1" applyFont="1" applyFill="1" applyBorder="1" applyAlignment="1">
      <alignment horizontal="center"/>
    </xf>
    <xf numFmtId="168" fontId="0" fillId="0" borderId="46" xfId="0" applyNumberFormat="1" applyBorder="1" applyAlignment="1">
      <alignment horizontal="center"/>
    </xf>
    <xf numFmtId="2" fontId="53" fillId="0" borderId="50" xfId="0" applyNumberFormat="1" applyFont="1" applyFill="1" applyBorder="1" applyAlignment="1">
      <alignment horizontal="center" vertical="center"/>
    </xf>
    <xf numFmtId="0" fontId="0" fillId="0" borderId="50" xfId="0" applyFill="1" applyBorder="1" applyAlignment="1">
      <alignment horizontal="center" vertical="center"/>
    </xf>
    <xf numFmtId="2" fontId="53" fillId="34" borderId="50" xfId="0" applyNumberFormat="1" applyFont="1" applyFill="1" applyBorder="1" applyAlignment="1">
      <alignment horizontal="center" vertical="center"/>
    </xf>
    <xf numFmtId="0" fontId="0" fillId="34" borderId="5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6</xdr:row>
      <xdr:rowOff>0</xdr:rowOff>
    </xdr:from>
    <xdr:to>
      <xdr:col>1</xdr:col>
      <xdr:colOff>2286000</xdr:colOff>
      <xdr:row>6</xdr:row>
      <xdr:rowOff>0</xdr:rowOff>
    </xdr:to>
    <xdr:grpSp>
      <xdr:nvGrpSpPr>
        <xdr:cNvPr id="1" name="Group 59"/>
        <xdr:cNvGrpSpPr>
          <a:grpSpLocks/>
        </xdr:cNvGrpSpPr>
      </xdr:nvGrpSpPr>
      <xdr:grpSpPr>
        <a:xfrm>
          <a:off x="1809750" y="1933575"/>
          <a:ext cx="914400" cy="0"/>
          <a:chOff x="2160" y="8154"/>
          <a:chExt cx="1440" cy="416"/>
        </a:xfrm>
        <a:solidFill>
          <a:srgbClr val="FFFFFF"/>
        </a:solidFill>
      </xdr:grpSpPr>
      <xdr:grpSp>
        <xdr:nvGrpSpPr>
          <xdr:cNvPr id="2" name="Group 62"/>
          <xdr:cNvGrpSpPr>
            <a:grpSpLocks/>
          </xdr:cNvGrpSpPr>
        </xdr:nvGrpSpPr>
        <xdr:grpSpPr>
          <a:xfrm>
            <a:off x="2160" y="8154"/>
            <a:ext cx="1440" cy="209"/>
            <a:chOff x="2160" y="8154"/>
            <a:chExt cx="1440" cy="209"/>
          </a:xfrm>
          <a:solidFill>
            <a:srgbClr val="FFFFFF"/>
          </a:solidFill>
        </xdr:grpSpPr>
        <xdr:sp>
          <xdr:nvSpPr>
            <xdr:cNvPr id="3" name="Freeform 63"/>
            <xdr:cNvSpPr>
              <a:spLocks/>
            </xdr:cNvSpPr>
          </xdr:nvSpPr>
          <xdr:spPr>
            <a:xfrm>
              <a:off x="2160" y="8154"/>
              <a:ext cx="1440" cy="209"/>
            </a:xfrm>
            <a:custGeom>
              <a:pathLst>
                <a:path h="209" w="1440">
                  <a:moveTo>
                    <a:pt x="0" y="209"/>
                  </a:moveTo>
                  <a:lnTo>
                    <a:pt x="1440" y="209"/>
                  </a:lnTo>
                  <a:lnTo>
                    <a:pt x="1440" y="0"/>
                  </a:lnTo>
                  <a:lnTo>
                    <a:pt x="0" y="0"/>
                  </a:lnTo>
                  <a:lnTo>
                    <a:pt x="0" y="209"/>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4" name="Group 60"/>
          <xdr:cNvGrpSpPr>
            <a:grpSpLocks/>
          </xdr:cNvGrpSpPr>
        </xdr:nvGrpSpPr>
        <xdr:grpSpPr>
          <a:xfrm>
            <a:off x="2160" y="8363"/>
            <a:ext cx="1440" cy="207"/>
            <a:chOff x="2160" y="8363"/>
            <a:chExt cx="1440" cy="207"/>
          </a:xfrm>
          <a:solidFill>
            <a:srgbClr val="FFFFFF"/>
          </a:solidFill>
        </xdr:grpSpPr>
        <xdr:sp>
          <xdr:nvSpPr>
            <xdr:cNvPr id="5" name="Freeform 61"/>
            <xdr:cNvSpPr>
              <a:spLocks/>
            </xdr:cNvSpPr>
          </xdr:nvSpPr>
          <xdr:spPr>
            <a:xfrm>
              <a:off x="2160" y="8363"/>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1371600</xdr:colOff>
      <xdr:row>20</xdr:row>
      <xdr:rowOff>0</xdr:rowOff>
    </xdr:from>
    <xdr:to>
      <xdr:col>1</xdr:col>
      <xdr:colOff>2286000</xdr:colOff>
      <xdr:row>20</xdr:row>
      <xdr:rowOff>0</xdr:rowOff>
    </xdr:to>
    <xdr:grpSp>
      <xdr:nvGrpSpPr>
        <xdr:cNvPr id="6" name="Group 15"/>
        <xdr:cNvGrpSpPr>
          <a:grpSpLocks/>
        </xdr:cNvGrpSpPr>
      </xdr:nvGrpSpPr>
      <xdr:grpSpPr>
        <a:xfrm>
          <a:off x="1809750" y="5276850"/>
          <a:ext cx="914400" cy="0"/>
          <a:chOff x="2160" y="2081"/>
          <a:chExt cx="1440" cy="828"/>
        </a:xfrm>
        <a:solidFill>
          <a:srgbClr val="FFFFFF"/>
        </a:solidFill>
      </xdr:grpSpPr>
      <xdr:grpSp>
        <xdr:nvGrpSpPr>
          <xdr:cNvPr id="7" name="Group 22"/>
          <xdr:cNvGrpSpPr>
            <a:grpSpLocks/>
          </xdr:cNvGrpSpPr>
        </xdr:nvGrpSpPr>
        <xdr:grpSpPr>
          <a:xfrm>
            <a:off x="2160" y="2081"/>
            <a:ext cx="1440" cy="207"/>
            <a:chOff x="2160" y="2081"/>
            <a:chExt cx="1440" cy="207"/>
          </a:xfrm>
          <a:solidFill>
            <a:srgbClr val="FFFFFF"/>
          </a:solidFill>
        </xdr:grpSpPr>
        <xdr:sp>
          <xdr:nvSpPr>
            <xdr:cNvPr id="8" name="Freeform 23"/>
            <xdr:cNvSpPr>
              <a:spLocks/>
            </xdr:cNvSpPr>
          </xdr:nvSpPr>
          <xdr:spPr>
            <a:xfrm>
              <a:off x="2160" y="2081"/>
              <a:ext cx="1440" cy="207"/>
            </a:xfrm>
            <a:custGeom>
              <a:pathLst>
                <a:path h="207" w="1440">
                  <a:moveTo>
                    <a:pt x="0" y="207"/>
                  </a:moveTo>
                  <a:lnTo>
                    <a:pt x="1440" y="207"/>
                  </a:lnTo>
                  <a:lnTo>
                    <a:pt x="1440" y="0"/>
                  </a:lnTo>
                  <a:lnTo>
                    <a:pt x="0" y="0"/>
                  </a:lnTo>
                  <a:lnTo>
                    <a:pt x="0" y="207"/>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9" name="Group 20"/>
          <xdr:cNvGrpSpPr>
            <a:grpSpLocks/>
          </xdr:cNvGrpSpPr>
        </xdr:nvGrpSpPr>
        <xdr:grpSpPr>
          <a:xfrm>
            <a:off x="2160" y="2288"/>
            <a:ext cx="1440" cy="209"/>
            <a:chOff x="2160" y="2288"/>
            <a:chExt cx="1440" cy="209"/>
          </a:xfrm>
          <a:solidFill>
            <a:srgbClr val="FFFFFF"/>
          </a:solidFill>
        </xdr:grpSpPr>
        <xdr:sp>
          <xdr:nvSpPr>
            <xdr:cNvPr id="10" name="Freeform 21"/>
            <xdr:cNvSpPr>
              <a:spLocks/>
            </xdr:cNvSpPr>
          </xdr:nvSpPr>
          <xdr:spPr>
            <a:xfrm>
              <a:off x="2160" y="2288"/>
              <a:ext cx="1440" cy="209"/>
            </a:xfrm>
            <a:custGeom>
              <a:pathLst>
                <a:path h="209" w="1440">
                  <a:moveTo>
                    <a:pt x="0" y="208"/>
                  </a:moveTo>
                  <a:lnTo>
                    <a:pt x="1440" y="208"/>
                  </a:lnTo>
                  <a:lnTo>
                    <a:pt x="1440" y="0"/>
                  </a:lnTo>
                  <a:lnTo>
                    <a:pt x="0" y="0"/>
                  </a:lnTo>
                  <a:lnTo>
                    <a:pt x="0" y="208"/>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1" name="Group 18"/>
          <xdr:cNvGrpSpPr>
            <a:grpSpLocks/>
          </xdr:cNvGrpSpPr>
        </xdr:nvGrpSpPr>
        <xdr:grpSpPr>
          <a:xfrm>
            <a:off x="2160" y="2496"/>
            <a:ext cx="1440" cy="207"/>
            <a:chOff x="2160" y="2496"/>
            <a:chExt cx="1440" cy="207"/>
          </a:xfrm>
          <a:solidFill>
            <a:srgbClr val="FFFFFF"/>
          </a:solidFill>
        </xdr:grpSpPr>
        <xdr:sp>
          <xdr:nvSpPr>
            <xdr:cNvPr id="12" name="Freeform 19"/>
            <xdr:cNvSpPr>
              <a:spLocks/>
            </xdr:cNvSpPr>
          </xdr:nvSpPr>
          <xdr:spPr>
            <a:xfrm>
              <a:off x="2160" y="2496"/>
              <a:ext cx="1440" cy="207"/>
            </a:xfrm>
            <a:custGeom>
              <a:pathLst>
                <a:path h="207" w="1440">
                  <a:moveTo>
                    <a:pt x="0" y="207"/>
                  </a:moveTo>
                  <a:lnTo>
                    <a:pt x="1440" y="207"/>
                  </a:lnTo>
                  <a:lnTo>
                    <a:pt x="1440" y="0"/>
                  </a:lnTo>
                  <a:lnTo>
                    <a:pt x="0" y="0"/>
                  </a:lnTo>
                  <a:lnTo>
                    <a:pt x="0" y="207"/>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3" name="Group 16"/>
          <xdr:cNvGrpSpPr>
            <a:grpSpLocks/>
          </xdr:cNvGrpSpPr>
        </xdr:nvGrpSpPr>
        <xdr:grpSpPr>
          <a:xfrm>
            <a:off x="2160" y="2703"/>
            <a:ext cx="1440" cy="207"/>
            <a:chOff x="2160" y="2703"/>
            <a:chExt cx="1440" cy="207"/>
          </a:xfrm>
          <a:solidFill>
            <a:srgbClr val="FFFFFF"/>
          </a:solidFill>
        </xdr:grpSpPr>
        <xdr:sp>
          <xdr:nvSpPr>
            <xdr:cNvPr id="14" name="Freeform 17"/>
            <xdr:cNvSpPr>
              <a:spLocks/>
            </xdr:cNvSpPr>
          </xdr:nvSpPr>
          <xdr:spPr>
            <a:xfrm>
              <a:off x="2160" y="2703"/>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1371600</xdr:colOff>
      <xdr:row>20</xdr:row>
      <xdr:rowOff>609600</xdr:rowOff>
    </xdr:from>
    <xdr:to>
      <xdr:col>1</xdr:col>
      <xdr:colOff>2286000</xdr:colOff>
      <xdr:row>20</xdr:row>
      <xdr:rowOff>609600</xdr:rowOff>
    </xdr:to>
    <xdr:grpSp>
      <xdr:nvGrpSpPr>
        <xdr:cNvPr id="15" name="Group 8"/>
        <xdr:cNvGrpSpPr>
          <a:grpSpLocks/>
        </xdr:cNvGrpSpPr>
      </xdr:nvGrpSpPr>
      <xdr:grpSpPr>
        <a:xfrm>
          <a:off x="1809750" y="5886450"/>
          <a:ext cx="914400" cy="0"/>
          <a:chOff x="2160" y="7091"/>
          <a:chExt cx="1440" cy="620"/>
        </a:xfrm>
        <a:solidFill>
          <a:srgbClr val="FFFFFF"/>
        </a:solidFill>
      </xdr:grpSpPr>
      <xdr:grpSp>
        <xdr:nvGrpSpPr>
          <xdr:cNvPr id="16" name="Group 13"/>
          <xdr:cNvGrpSpPr>
            <a:grpSpLocks/>
          </xdr:cNvGrpSpPr>
        </xdr:nvGrpSpPr>
        <xdr:grpSpPr>
          <a:xfrm>
            <a:off x="2160" y="7091"/>
            <a:ext cx="1440" cy="207"/>
            <a:chOff x="2160" y="7091"/>
            <a:chExt cx="1440" cy="207"/>
          </a:xfrm>
          <a:solidFill>
            <a:srgbClr val="FFFFFF"/>
          </a:solidFill>
        </xdr:grpSpPr>
        <xdr:sp>
          <xdr:nvSpPr>
            <xdr:cNvPr id="17" name="Freeform 14"/>
            <xdr:cNvSpPr>
              <a:spLocks/>
            </xdr:cNvSpPr>
          </xdr:nvSpPr>
          <xdr:spPr>
            <a:xfrm>
              <a:off x="2160" y="7091"/>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18" name="Group 11"/>
          <xdr:cNvGrpSpPr>
            <a:grpSpLocks/>
          </xdr:cNvGrpSpPr>
        </xdr:nvGrpSpPr>
        <xdr:grpSpPr>
          <a:xfrm>
            <a:off x="2160" y="7297"/>
            <a:ext cx="1440" cy="207"/>
            <a:chOff x="2160" y="7297"/>
            <a:chExt cx="1440" cy="207"/>
          </a:xfrm>
          <a:solidFill>
            <a:srgbClr val="FFFFFF"/>
          </a:solidFill>
        </xdr:grpSpPr>
        <xdr:sp>
          <xdr:nvSpPr>
            <xdr:cNvPr id="19" name="Freeform 12"/>
            <xdr:cNvSpPr>
              <a:spLocks/>
            </xdr:cNvSpPr>
          </xdr:nvSpPr>
          <xdr:spPr>
            <a:xfrm>
              <a:off x="2160" y="7297"/>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20" name="Group 9"/>
          <xdr:cNvGrpSpPr>
            <a:grpSpLocks/>
          </xdr:cNvGrpSpPr>
        </xdr:nvGrpSpPr>
        <xdr:grpSpPr>
          <a:xfrm>
            <a:off x="2160" y="7503"/>
            <a:ext cx="1440" cy="207"/>
            <a:chOff x="2160" y="7503"/>
            <a:chExt cx="1440" cy="207"/>
          </a:xfrm>
          <a:solidFill>
            <a:srgbClr val="FFFFFF"/>
          </a:solidFill>
        </xdr:grpSpPr>
        <xdr:sp>
          <xdr:nvSpPr>
            <xdr:cNvPr id="21" name="Freeform 10"/>
            <xdr:cNvSpPr>
              <a:spLocks/>
            </xdr:cNvSpPr>
          </xdr:nvSpPr>
          <xdr:spPr>
            <a:xfrm>
              <a:off x="2160" y="7503"/>
              <a:ext cx="1440" cy="207"/>
            </a:xfrm>
            <a:custGeom>
              <a:pathLst>
                <a:path h="207" w="1440">
                  <a:moveTo>
                    <a:pt x="0" y="207"/>
                  </a:moveTo>
                  <a:lnTo>
                    <a:pt x="1440" y="207"/>
                  </a:lnTo>
                  <a:lnTo>
                    <a:pt x="1440" y="0"/>
                  </a:lnTo>
                  <a:lnTo>
                    <a:pt x="0" y="0"/>
                  </a:lnTo>
                  <a:lnTo>
                    <a:pt x="0" y="207"/>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1371600</xdr:colOff>
      <xdr:row>20</xdr:row>
      <xdr:rowOff>609600</xdr:rowOff>
    </xdr:from>
    <xdr:to>
      <xdr:col>1</xdr:col>
      <xdr:colOff>2286000</xdr:colOff>
      <xdr:row>20</xdr:row>
      <xdr:rowOff>609600</xdr:rowOff>
    </xdr:to>
    <xdr:grpSp>
      <xdr:nvGrpSpPr>
        <xdr:cNvPr id="22" name="Group 1"/>
        <xdr:cNvGrpSpPr>
          <a:grpSpLocks/>
        </xdr:cNvGrpSpPr>
      </xdr:nvGrpSpPr>
      <xdr:grpSpPr>
        <a:xfrm>
          <a:off x="1809750" y="5886450"/>
          <a:ext cx="914400" cy="0"/>
          <a:chOff x="2160" y="8963"/>
          <a:chExt cx="1440" cy="622"/>
        </a:xfrm>
        <a:solidFill>
          <a:srgbClr val="FFFFFF"/>
        </a:solidFill>
      </xdr:grpSpPr>
      <xdr:grpSp>
        <xdr:nvGrpSpPr>
          <xdr:cNvPr id="23" name="Group 6"/>
          <xdr:cNvGrpSpPr>
            <a:grpSpLocks/>
          </xdr:cNvGrpSpPr>
        </xdr:nvGrpSpPr>
        <xdr:grpSpPr>
          <a:xfrm>
            <a:off x="2160" y="8963"/>
            <a:ext cx="1440" cy="207"/>
            <a:chOff x="2160" y="8963"/>
            <a:chExt cx="1440" cy="207"/>
          </a:xfrm>
          <a:solidFill>
            <a:srgbClr val="FFFFFF"/>
          </a:solidFill>
        </xdr:grpSpPr>
        <xdr:sp>
          <xdr:nvSpPr>
            <xdr:cNvPr id="24" name="Freeform 7"/>
            <xdr:cNvSpPr>
              <a:spLocks/>
            </xdr:cNvSpPr>
          </xdr:nvSpPr>
          <xdr:spPr>
            <a:xfrm>
              <a:off x="2160" y="8963"/>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25" name="Group 4"/>
          <xdr:cNvGrpSpPr>
            <a:grpSpLocks/>
          </xdr:cNvGrpSpPr>
        </xdr:nvGrpSpPr>
        <xdr:grpSpPr>
          <a:xfrm>
            <a:off x="2160" y="9169"/>
            <a:ext cx="1440" cy="207"/>
            <a:chOff x="2160" y="9169"/>
            <a:chExt cx="1440" cy="207"/>
          </a:xfrm>
          <a:solidFill>
            <a:srgbClr val="FFFFFF"/>
          </a:solidFill>
        </xdr:grpSpPr>
        <xdr:sp>
          <xdr:nvSpPr>
            <xdr:cNvPr id="26" name="Freeform 5"/>
            <xdr:cNvSpPr>
              <a:spLocks/>
            </xdr:cNvSpPr>
          </xdr:nvSpPr>
          <xdr:spPr>
            <a:xfrm>
              <a:off x="2160" y="9169"/>
              <a:ext cx="1440" cy="207"/>
            </a:xfrm>
            <a:custGeom>
              <a:pathLst>
                <a:path h="207" w="1440">
                  <a:moveTo>
                    <a:pt x="0" y="206"/>
                  </a:moveTo>
                  <a:lnTo>
                    <a:pt x="1440" y="206"/>
                  </a:lnTo>
                  <a:lnTo>
                    <a:pt x="1440" y="0"/>
                  </a:lnTo>
                  <a:lnTo>
                    <a:pt x="0" y="0"/>
                  </a:lnTo>
                  <a:lnTo>
                    <a:pt x="0" y="206"/>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nvGrpSpPr>
          <xdr:cNvPr id="27" name="Group 2"/>
          <xdr:cNvGrpSpPr>
            <a:grpSpLocks/>
          </xdr:cNvGrpSpPr>
        </xdr:nvGrpSpPr>
        <xdr:grpSpPr>
          <a:xfrm>
            <a:off x="2160" y="9375"/>
            <a:ext cx="1440" cy="210"/>
            <a:chOff x="2160" y="9375"/>
            <a:chExt cx="1440" cy="210"/>
          </a:xfrm>
          <a:solidFill>
            <a:srgbClr val="FFFFFF"/>
          </a:solidFill>
        </xdr:grpSpPr>
        <xdr:sp>
          <xdr:nvSpPr>
            <xdr:cNvPr id="28" name="Freeform 3"/>
            <xdr:cNvSpPr>
              <a:spLocks/>
            </xdr:cNvSpPr>
          </xdr:nvSpPr>
          <xdr:spPr>
            <a:xfrm>
              <a:off x="2160" y="9375"/>
              <a:ext cx="1440" cy="210"/>
            </a:xfrm>
            <a:custGeom>
              <a:pathLst>
                <a:path h="210" w="1440">
                  <a:moveTo>
                    <a:pt x="0" y="210"/>
                  </a:moveTo>
                  <a:lnTo>
                    <a:pt x="1440" y="210"/>
                  </a:lnTo>
                  <a:lnTo>
                    <a:pt x="1440" y="0"/>
                  </a:lnTo>
                  <a:lnTo>
                    <a:pt x="0" y="0"/>
                  </a:lnTo>
                  <a:lnTo>
                    <a:pt x="0" y="210"/>
                  </a:lnTo>
                  <a:close/>
                </a:path>
              </a:pathLst>
            </a:custGeom>
            <a:solidFill>
              <a:srgbClr val="808080"/>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1419225</xdr:colOff>
      <xdr:row>119</xdr:row>
      <xdr:rowOff>114300</xdr:rowOff>
    </xdr:from>
    <xdr:to>
      <xdr:col>6</xdr:col>
      <xdr:colOff>285750</xdr:colOff>
      <xdr:row>125</xdr:row>
      <xdr:rowOff>76200</xdr:rowOff>
    </xdr:to>
    <xdr:sp>
      <xdr:nvSpPr>
        <xdr:cNvPr id="1" name="Straight Arrow Connector 2"/>
        <xdr:cNvSpPr>
          <a:spLocks/>
        </xdr:cNvSpPr>
      </xdr:nvSpPr>
      <xdr:spPr>
        <a:xfrm flipH="1" flipV="1">
          <a:off x="7667625" y="25593675"/>
          <a:ext cx="6238875" cy="11620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13"/>
  <sheetViews>
    <sheetView zoomScalePageLayoutView="0" workbookViewId="0" topLeftCell="A1">
      <selection activeCell="B2" sqref="B2"/>
    </sheetView>
  </sheetViews>
  <sheetFormatPr defaultColWidth="9.140625" defaultRowHeight="15"/>
  <cols>
    <col min="1" max="1" width="5.28125" style="2" customWidth="1"/>
    <col min="2" max="2" width="91.140625" style="2" customWidth="1"/>
    <col min="3" max="16384" width="9.140625" style="2" customWidth="1"/>
  </cols>
  <sheetData>
    <row r="2" ht="18.75">
      <c r="B2" s="192" t="s">
        <v>23</v>
      </c>
    </row>
    <row r="3" ht="15.75" thickBot="1"/>
    <row r="4" ht="15.75">
      <c r="B4" s="47" t="s">
        <v>1</v>
      </c>
    </row>
    <row r="5" ht="54" customHeight="1" thickBot="1">
      <c r="B5" s="16" t="s">
        <v>2</v>
      </c>
    </row>
    <row r="6" s="50" customFormat="1" ht="15.75" thickBot="1"/>
    <row r="7" ht="15.75">
      <c r="B7" s="47" t="s">
        <v>0</v>
      </c>
    </row>
    <row r="8" ht="15.75">
      <c r="B8" s="46"/>
    </row>
    <row r="9" spans="2:6" ht="15">
      <c r="B9" s="17" t="s">
        <v>3</v>
      </c>
      <c r="F9" s="3"/>
    </row>
    <row r="10" ht="15">
      <c r="B10" s="17" t="s">
        <v>6</v>
      </c>
    </row>
    <row r="11" spans="2:6" ht="15">
      <c r="B11" s="17" t="s">
        <v>145</v>
      </c>
      <c r="F11" s="3"/>
    </row>
    <row r="12" ht="15">
      <c r="B12" s="17" t="s">
        <v>5</v>
      </c>
    </row>
    <row r="13" ht="15.75" thickBot="1">
      <c r="B13" s="16" t="s">
        <v>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27"/>
  <sheetViews>
    <sheetView zoomScalePageLayoutView="0" workbookViewId="0" topLeftCell="A1">
      <selection activeCell="B2" sqref="B2"/>
    </sheetView>
  </sheetViews>
  <sheetFormatPr defaultColWidth="65.7109375" defaultRowHeight="15"/>
  <cols>
    <col min="1" max="1" width="6.57421875" style="2" customWidth="1"/>
    <col min="2" max="2" width="65.7109375" style="2" customWidth="1"/>
    <col min="3" max="3" width="34.28125" style="2" customWidth="1"/>
    <col min="4" max="4" width="18.28125" style="2" bestFit="1" customWidth="1"/>
    <col min="5" max="16384" width="65.7109375" style="2" customWidth="1"/>
  </cols>
  <sheetData>
    <row r="2" ht="18.75">
      <c r="B2" s="192" t="s">
        <v>213</v>
      </c>
    </row>
    <row r="3" ht="15.75" thickBot="1"/>
    <row r="4" spans="2:5" ht="39" thickBot="1">
      <c r="B4" s="187" t="s">
        <v>211</v>
      </c>
      <c r="C4" s="187" t="s">
        <v>42</v>
      </c>
      <c r="D4" s="188" t="s">
        <v>215</v>
      </c>
      <c r="E4" s="189" t="s">
        <v>43</v>
      </c>
    </row>
    <row r="5" spans="2:5" ht="48">
      <c r="B5" s="375" t="s">
        <v>39</v>
      </c>
      <c r="C5" s="377" t="s">
        <v>209</v>
      </c>
      <c r="D5" s="379">
        <v>10</v>
      </c>
      <c r="E5" s="169" t="s">
        <v>40</v>
      </c>
    </row>
    <row r="6" spans="2:5" ht="15.75" thickBot="1">
      <c r="B6" s="376"/>
      <c r="C6" s="378"/>
      <c r="D6" s="380"/>
      <c r="E6" s="170" t="s">
        <v>41</v>
      </c>
    </row>
    <row r="7" spans="2:5" ht="15">
      <c r="B7" s="375" t="s">
        <v>44</v>
      </c>
      <c r="C7" s="377" t="s">
        <v>45</v>
      </c>
      <c r="D7" s="379">
        <v>18</v>
      </c>
      <c r="E7" s="171" t="s">
        <v>46</v>
      </c>
    </row>
    <row r="8" spans="2:5" ht="24.75" thickBot="1">
      <c r="B8" s="376"/>
      <c r="C8" s="378"/>
      <c r="D8" s="380"/>
      <c r="E8" s="172" t="s">
        <v>47</v>
      </c>
    </row>
    <row r="9" spans="2:5" ht="15">
      <c r="B9" s="375" t="s">
        <v>48</v>
      </c>
      <c r="C9" s="205" t="s">
        <v>49</v>
      </c>
      <c r="D9" s="379">
        <v>7</v>
      </c>
      <c r="E9" s="381" t="s">
        <v>51</v>
      </c>
    </row>
    <row r="10" spans="2:5" ht="30" customHeight="1" thickBot="1">
      <c r="B10" s="376"/>
      <c r="C10" s="206" t="s">
        <v>50</v>
      </c>
      <c r="D10" s="380"/>
      <c r="E10" s="382"/>
    </row>
    <row r="11" spans="2:5" ht="24">
      <c r="B11" s="185" t="s">
        <v>52</v>
      </c>
      <c r="C11" s="377" t="s">
        <v>53</v>
      </c>
      <c r="D11" s="379">
        <v>32</v>
      </c>
      <c r="E11" s="171" t="s">
        <v>54</v>
      </c>
    </row>
    <row r="12" spans="2:5" ht="15">
      <c r="B12" s="186" t="s">
        <v>77</v>
      </c>
      <c r="C12" s="383"/>
      <c r="D12" s="384"/>
      <c r="E12" s="174" t="s">
        <v>55</v>
      </c>
    </row>
    <row r="13" spans="2:5" ht="15.75" thickBot="1">
      <c r="B13" s="177"/>
      <c r="C13" s="378"/>
      <c r="D13" s="380"/>
      <c r="E13" s="172" t="s">
        <v>56</v>
      </c>
    </row>
    <row r="14" spans="2:5" ht="15">
      <c r="B14" s="185" t="s">
        <v>212</v>
      </c>
      <c r="C14" s="377" t="s">
        <v>58</v>
      </c>
      <c r="D14" s="379">
        <v>29</v>
      </c>
      <c r="E14" s="171" t="s">
        <v>59</v>
      </c>
    </row>
    <row r="15" spans="2:5" ht="15">
      <c r="B15" s="186"/>
      <c r="C15" s="383"/>
      <c r="D15" s="384"/>
      <c r="E15" s="175"/>
    </row>
    <row r="16" spans="2:5" ht="15">
      <c r="B16" s="178"/>
      <c r="C16" s="383"/>
      <c r="D16" s="384"/>
      <c r="E16" s="174" t="s">
        <v>60</v>
      </c>
    </row>
    <row r="17" spans="2:5" ht="15">
      <c r="B17" s="191"/>
      <c r="C17" s="383"/>
      <c r="D17" s="384"/>
      <c r="E17" s="176"/>
    </row>
    <row r="18" spans="2:5" ht="24">
      <c r="B18" s="186" t="s">
        <v>57</v>
      </c>
      <c r="C18" s="383"/>
      <c r="D18" s="384"/>
      <c r="E18" s="174" t="s">
        <v>61</v>
      </c>
    </row>
    <row r="19" spans="2:5" ht="15">
      <c r="B19" s="179"/>
      <c r="C19" s="383"/>
      <c r="D19" s="384"/>
      <c r="E19" s="174" t="s">
        <v>62</v>
      </c>
    </row>
    <row r="20" spans="2:5" ht="24.75" thickBot="1">
      <c r="B20" s="177"/>
      <c r="C20" s="378"/>
      <c r="D20" s="380"/>
      <c r="E20" s="172" t="s">
        <v>63</v>
      </c>
    </row>
    <row r="21" spans="2:5" ht="48">
      <c r="B21" s="375" t="s">
        <v>64</v>
      </c>
      <c r="C21" s="377" t="s">
        <v>65</v>
      </c>
      <c r="D21" s="379">
        <v>38</v>
      </c>
      <c r="E21" s="171" t="s">
        <v>66</v>
      </c>
    </row>
    <row r="22" spans="2:5" ht="24.75" thickBot="1">
      <c r="B22" s="376"/>
      <c r="C22" s="378"/>
      <c r="D22" s="380"/>
      <c r="E22" s="172" t="s">
        <v>67</v>
      </c>
    </row>
    <row r="23" spans="2:5" ht="24.75" thickBot="1">
      <c r="B23" s="184" t="s">
        <v>68</v>
      </c>
      <c r="C23" s="190" t="s">
        <v>69</v>
      </c>
      <c r="D23" s="182">
        <v>13</v>
      </c>
      <c r="E23" s="173" t="s">
        <v>70</v>
      </c>
    </row>
    <row r="24" spans="2:5" ht="48">
      <c r="B24" s="375" t="s">
        <v>71</v>
      </c>
      <c r="C24" s="377" t="s">
        <v>72</v>
      </c>
      <c r="D24" s="379">
        <v>10</v>
      </c>
      <c r="E24" s="171" t="s">
        <v>73</v>
      </c>
    </row>
    <row r="25" spans="2:5" ht="15.75" thickBot="1">
      <c r="B25" s="376"/>
      <c r="C25" s="378"/>
      <c r="D25" s="380"/>
      <c r="E25" s="172" t="s">
        <v>56</v>
      </c>
    </row>
    <row r="26" spans="2:5" ht="24.75" thickBot="1">
      <c r="B26" s="184" t="s">
        <v>74</v>
      </c>
      <c r="C26" s="190" t="s">
        <v>75</v>
      </c>
      <c r="D26" s="182">
        <v>16</v>
      </c>
      <c r="E26" s="173" t="s">
        <v>76</v>
      </c>
    </row>
    <row r="27" spans="2:5" ht="23.25" customHeight="1" thickBot="1">
      <c r="B27" s="72" t="s">
        <v>210</v>
      </c>
      <c r="C27" s="180"/>
      <c r="D27" s="183">
        <f>SUM(D5:D26)</f>
        <v>173</v>
      </c>
      <c r="E27" s="181"/>
    </row>
  </sheetData>
  <sheetProtection/>
  <mergeCells count="19">
    <mergeCell ref="B24:B25"/>
    <mergeCell ref="C24:C25"/>
    <mergeCell ref="D24:D25"/>
    <mergeCell ref="E9:E10"/>
    <mergeCell ref="B21:B22"/>
    <mergeCell ref="C21:C22"/>
    <mergeCell ref="D21:D22"/>
    <mergeCell ref="B9:B10"/>
    <mergeCell ref="D9:D10"/>
    <mergeCell ref="C11:C13"/>
    <mergeCell ref="D11:D13"/>
    <mergeCell ref="C14:C20"/>
    <mergeCell ref="D14:D20"/>
    <mergeCell ref="B5:B6"/>
    <mergeCell ref="C5:C6"/>
    <mergeCell ref="D5:D6"/>
    <mergeCell ref="B7:B8"/>
    <mergeCell ref="C7:C8"/>
    <mergeCell ref="D7:D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S156"/>
  <sheetViews>
    <sheetView zoomScalePageLayoutView="0" workbookViewId="0" topLeftCell="A1">
      <selection activeCell="B2" sqref="B2"/>
    </sheetView>
  </sheetViews>
  <sheetFormatPr defaultColWidth="9.140625" defaultRowHeight="15"/>
  <cols>
    <col min="1" max="1" width="6.28125" style="1" customWidth="1"/>
    <col min="2" max="2" width="87.421875" style="1" customWidth="1"/>
    <col min="3" max="3" width="24.57421875" style="1" customWidth="1"/>
    <col min="4" max="4" width="25.57421875" style="1" customWidth="1"/>
    <col min="5" max="5" width="24.57421875" style="1" customWidth="1"/>
    <col min="6" max="6" width="35.8515625" style="1" customWidth="1"/>
    <col min="7" max="13" width="24.57421875" style="1" customWidth="1"/>
    <col min="14" max="17" width="9.28125" style="1" bestFit="1" customWidth="1"/>
    <col min="18" max="19" width="13.140625" style="1" bestFit="1" customWidth="1"/>
    <col min="20" max="16384" width="9.140625" style="1" customWidth="1"/>
  </cols>
  <sheetData>
    <row r="2" spans="2:8" ht="18.75">
      <c r="B2" s="193" t="s">
        <v>208</v>
      </c>
      <c r="C2" s="73"/>
      <c r="D2" s="73"/>
      <c r="E2" s="73"/>
      <c r="F2" s="73"/>
      <c r="G2" s="73"/>
      <c r="H2" s="73"/>
    </row>
    <row r="4" ht="15">
      <c r="B4" s="363" t="s">
        <v>170</v>
      </c>
    </row>
    <row r="5" ht="15">
      <c r="B5" s="5"/>
    </row>
    <row r="6" ht="15">
      <c r="B6" s="4" t="s">
        <v>267</v>
      </c>
    </row>
    <row r="7" ht="15.75" thickBot="1"/>
    <row r="8" spans="2:3" ht="15">
      <c r="B8" s="125" t="s">
        <v>216</v>
      </c>
      <c r="C8" s="199" t="s">
        <v>217</v>
      </c>
    </row>
    <row r="9" spans="2:4" ht="15">
      <c r="B9" s="53" t="s">
        <v>218</v>
      </c>
      <c r="C9" s="200">
        <v>207273</v>
      </c>
      <c r="D9" s="48"/>
    </row>
    <row r="10" spans="2:3" ht="15" customHeight="1">
      <c r="B10" s="53" t="s">
        <v>219</v>
      </c>
      <c r="C10" s="200">
        <v>1407615</v>
      </c>
    </row>
    <row r="11" spans="2:3" ht="15">
      <c r="B11" s="53" t="s">
        <v>220</v>
      </c>
      <c r="C11" s="202" t="s">
        <v>221</v>
      </c>
    </row>
    <row r="12" spans="2:3" ht="15">
      <c r="B12" s="53" t="s">
        <v>222</v>
      </c>
      <c r="C12" s="201" t="s">
        <v>223</v>
      </c>
    </row>
    <row r="13" spans="2:3" ht="15.75" thickBot="1">
      <c r="B13" s="204" t="s">
        <v>225</v>
      </c>
      <c r="C13" s="203" t="s">
        <v>224</v>
      </c>
    </row>
    <row r="15" ht="15">
      <c r="B15" s="363" t="s">
        <v>157</v>
      </c>
    </row>
    <row r="16" ht="15.75" thickBot="1"/>
    <row r="17" spans="2:3" s="151" customFormat="1" ht="45.75" thickBot="1">
      <c r="B17" s="149" t="s">
        <v>22</v>
      </c>
      <c r="C17" s="150" t="s">
        <v>178</v>
      </c>
    </row>
    <row r="18" spans="2:4" ht="15">
      <c r="B18" s="53" t="s">
        <v>167</v>
      </c>
      <c r="C18" s="123">
        <v>9</v>
      </c>
      <c r="D18" s="129" t="s">
        <v>214</v>
      </c>
    </row>
    <row r="19" spans="2:4" ht="15.75" thickBot="1">
      <c r="B19" s="118" t="s">
        <v>171</v>
      </c>
      <c r="C19" s="127">
        <v>5</v>
      </c>
      <c r="D19" s="129" t="s">
        <v>168</v>
      </c>
    </row>
    <row r="20" spans="2:3" ht="15.75" thickBot="1">
      <c r="B20" s="12" t="s">
        <v>160</v>
      </c>
      <c r="C20" s="128">
        <f>AVERAGE(C18:C19)</f>
        <v>7</v>
      </c>
    </row>
    <row r="22" ht="15.75" thickBot="1"/>
    <row r="23" spans="2:3" ht="15.75" thickBot="1">
      <c r="B23" s="119" t="s">
        <v>162</v>
      </c>
      <c r="C23" s="120" t="s">
        <v>113</v>
      </c>
    </row>
    <row r="24" spans="2:4" ht="15">
      <c r="B24" s="125" t="s">
        <v>169</v>
      </c>
      <c r="C24" s="124">
        <v>5</v>
      </c>
      <c r="D24" s="129" t="s">
        <v>266</v>
      </c>
    </row>
    <row r="25" spans="2:3" ht="15.75" thickBot="1">
      <c r="B25" s="121" t="s">
        <v>163</v>
      </c>
      <c r="C25" s="126">
        <v>22</v>
      </c>
    </row>
    <row r="26" spans="2:3" ht="15.75" thickBot="1">
      <c r="B26" s="12" t="s">
        <v>20</v>
      </c>
      <c r="C26" s="110">
        <f>SUM(C24:C25)</f>
        <v>27</v>
      </c>
    </row>
    <row r="28" ht="15">
      <c r="B28" s="48" t="s">
        <v>112</v>
      </c>
    </row>
    <row r="29" ht="15.75" thickBot="1"/>
    <row r="30" spans="2:3" ht="15.75" thickBot="1">
      <c r="B30" s="222" t="s">
        <v>262</v>
      </c>
      <c r="C30" s="223">
        <v>7.2</v>
      </c>
    </row>
    <row r="31" ht="15.75" thickBot="1"/>
    <row r="32" spans="2:19" ht="60.75" thickBot="1">
      <c r="B32" s="359"/>
      <c r="C32" s="360" t="s">
        <v>232</v>
      </c>
      <c r="D32" s="360" t="s">
        <v>233</v>
      </c>
      <c r="E32" s="360" t="s">
        <v>234</v>
      </c>
      <c r="F32" s="360" t="s">
        <v>230</v>
      </c>
      <c r="G32" s="360" t="s">
        <v>231</v>
      </c>
      <c r="H32" s="385" t="s">
        <v>235</v>
      </c>
      <c r="I32" s="386"/>
      <c r="J32" s="387"/>
      <c r="K32" s="388" t="s">
        <v>236</v>
      </c>
      <c r="L32" s="389"/>
      <c r="M32" s="390"/>
      <c r="N32" s="360" t="s">
        <v>258</v>
      </c>
      <c r="O32" s="360" t="s">
        <v>259</v>
      </c>
      <c r="P32" s="360" t="s">
        <v>237</v>
      </c>
      <c r="Q32" s="361" t="s">
        <v>238</v>
      </c>
      <c r="R32" s="361" t="s">
        <v>239</v>
      </c>
      <c r="S32" s="362" t="s">
        <v>239</v>
      </c>
    </row>
    <row r="33" spans="2:19" ht="15">
      <c r="B33" s="329"/>
      <c r="C33" s="329"/>
      <c r="D33" s="329"/>
      <c r="E33" s="329"/>
      <c r="F33" s="329"/>
      <c r="G33" s="329"/>
      <c r="H33" s="329" t="s">
        <v>164</v>
      </c>
      <c r="I33" s="329" t="s">
        <v>165</v>
      </c>
      <c r="J33" s="329" t="s">
        <v>166</v>
      </c>
      <c r="K33" s="329" t="s">
        <v>164</v>
      </c>
      <c r="L33" s="329" t="s">
        <v>165</v>
      </c>
      <c r="M33" s="329" t="s">
        <v>166</v>
      </c>
      <c r="N33" s="329"/>
      <c r="O33" s="329"/>
      <c r="P33" s="329"/>
      <c r="Q33" s="330"/>
      <c r="R33" s="330"/>
      <c r="S33" s="331"/>
    </row>
    <row r="34" spans="2:19" ht="30">
      <c r="B34" s="332"/>
      <c r="C34" s="332"/>
      <c r="D34" s="332"/>
      <c r="E34" s="332"/>
      <c r="F34" s="332"/>
      <c r="G34" s="332"/>
      <c r="H34" s="332" t="s">
        <v>119</v>
      </c>
      <c r="I34" s="332" t="s">
        <v>119</v>
      </c>
      <c r="J34" s="332" t="s">
        <v>119</v>
      </c>
      <c r="K34" s="332" t="s">
        <v>241</v>
      </c>
      <c r="L34" s="332" t="s">
        <v>241</v>
      </c>
      <c r="M34" s="332" t="s">
        <v>241</v>
      </c>
      <c r="N34" s="332" t="s">
        <v>260</v>
      </c>
      <c r="O34" s="332" t="s">
        <v>261</v>
      </c>
      <c r="P34" s="332" t="s">
        <v>113</v>
      </c>
      <c r="Q34" s="333" t="s">
        <v>242</v>
      </c>
      <c r="R34" s="333" t="s">
        <v>243</v>
      </c>
      <c r="S34" s="334" t="s">
        <v>244</v>
      </c>
    </row>
    <row r="35" spans="2:19" ht="15.75" thickBot="1">
      <c r="B35" s="332"/>
      <c r="C35" s="332"/>
      <c r="D35" s="332"/>
      <c r="E35" s="332"/>
      <c r="F35" s="332"/>
      <c r="G35" s="332"/>
      <c r="H35" s="332">
        <v>0.03</v>
      </c>
      <c r="I35" s="332">
        <v>0.16</v>
      </c>
      <c r="J35" s="332">
        <v>0.81</v>
      </c>
      <c r="K35" s="332">
        <v>16.63</v>
      </c>
      <c r="L35" s="332">
        <v>6.81</v>
      </c>
      <c r="M35" s="332">
        <v>6.04</v>
      </c>
      <c r="N35" s="332"/>
      <c r="O35" s="332"/>
      <c r="P35" s="332"/>
      <c r="Q35" s="333"/>
      <c r="R35" s="333"/>
      <c r="S35" s="334"/>
    </row>
    <row r="36" spans="2:19" ht="30">
      <c r="B36" s="335" t="s">
        <v>275</v>
      </c>
      <c r="C36" s="336" t="s">
        <v>248</v>
      </c>
      <c r="D36" s="337">
        <v>2</v>
      </c>
      <c r="E36" s="337" t="s">
        <v>240</v>
      </c>
      <c r="F36" s="337">
        <v>2349.3</v>
      </c>
      <c r="G36" s="338">
        <v>4165</v>
      </c>
      <c r="H36" s="339">
        <f aca="true" t="shared" si="0" ref="H36:H42">G36*$H$35</f>
        <v>124.94999999999999</v>
      </c>
      <c r="I36" s="339">
        <f aca="true" t="shared" si="1" ref="I36:I42">G36*$I$35</f>
        <v>666.4</v>
      </c>
      <c r="J36" s="339">
        <f aca="true" t="shared" si="2" ref="J36:J42">G36*$J$35</f>
        <v>3373.65</v>
      </c>
      <c r="K36" s="340">
        <f aca="true" t="shared" si="3" ref="K36:K42">H36*S36*$K$35</f>
        <v>3.9669353181818177</v>
      </c>
      <c r="L36" s="340">
        <f aca="true" t="shared" si="4" ref="L36:L42">I36*S36*$L$35</f>
        <v>8.663805818181817</v>
      </c>
      <c r="M36" s="340">
        <f aca="true" t="shared" si="5" ref="M36:M42">J36*S36*$M$35</f>
        <v>38.90125145454546</v>
      </c>
      <c r="N36" s="337">
        <v>22</v>
      </c>
      <c r="O36" s="337">
        <v>50</v>
      </c>
      <c r="P36" s="337">
        <v>3</v>
      </c>
      <c r="Q36" s="341">
        <f>P36*$C$20</f>
        <v>21</v>
      </c>
      <c r="R36" s="341">
        <f aca="true" t="shared" si="6" ref="R36:R42">$C$30/N36*Q36</f>
        <v>6.872727272727273</v>
      </c>
      <c r="S36" s="342">
        <f>R36/60/60</f>
        <v>0.0019090909090909091</v>
      </c>
    </row>
    <row r="37" spans="2:19" ht="30">
      <c r="B37" s="343" t="s">
        <v>271</v>
      </c>
      <c r="C37" s="344" t="s">
        <v>249</v>
      </c>
      <c r="D37" s="345">
        <v>14</v>
      </c>
      <c r="E37" s="345" t="s">
        <v>246</v>
      </c>
      <c r="F37" s="345">
        <v>17157</v>
      </c>
      <c r="G37" s="346">
        <v>40760</v>
      </c>
      <c r="H37" s="347">
        <f t="shared" si="0"/>
        <v>1222.8</v>
      </c>
      <c r="I37" s="347">
        <f t="shared" si="1"/>
        <v>6521.6</v>
      </c>
      <c r="J37" s="347">
        <f t="shared" si="2"/>
        <v>33015.6</v>
      </c>
      <c r="K37" s="348">
        <f t="shared" si="3"/>
        <v>175.19525907692304</v>
      </c>
      <c r="L37" s="348">
        <f t="shared" si="4"/>
        <v>382.6272886153846</v>
      </c>
      <c r="M37" s="348">
        <f t="shared" si="5"/>
        <v>1718.0302375384615</v>
      </c>
      <c r="N37" s="345">
        <v>26</v>
      </c>
      <c r="O37" s="345">
        <v>96</v>
      </c>
      <c r="P37" s="345">
        <v>16</v>
      </c>
      <c r="Q37" s="349">
        <f aca="true" t="shared" si="7" ref="Q37:Q42">P37*$C$20</f>
        <v>112</v>
      </c>
      <c r="R37" s="349">
        <f t="shared" si="6"/>
        <v>31.01538461538462</v>
      </c>
      <c r="S37" s="350">
        <f aca="true" t="shared" si="8" ref="S37:S42">R37/60/60</f>
        <v>0.008615384615384615</v>
      </c>
    </row>
    <row r="38" spans="2:19" ht="30">
      <c r="B38" s="343" t="s">
        <v>272</v>
      </c>
      <c r="C38" s="351" t="s">
        <v>250</v>
      </c>
      <c r="D38" s="345">
        <v>4</v>
      </c>
      <c r="E38" s="345" t="s">
        <v>240</v>
      </c>
      <c r="F38" s="345">
        <v>4856.6</v>
      </c>
      <c r="G38" s="346">
        <v>6373</v>
      </c>
      <c r="H38" s="347">
        <f t="shared" si="0"/>
        <v>191.19</v>
      </c>
      <c r="I38" s="347">
        <f t="shared" si="1"/>
        <v>1019.6800000000001</v>
      </c>
      <c r="J38" s="347">
        <f t="shared" si="2"/>
        <v>5162.13</v>
      </c>
      <c r="K38" s="348">
        <f t="shared" si="3"/>
        <v>3.829062864516129</v>
      </c>
      <c r="L38" s="348">
        <f t="shared" si="4"/>
        <v>8.362691716129033</v>
      </c>
      <c r="M38" s="348">
        <f t="shared" si="5"/>
        <v>37.549222606451615</v>
      </c>
      <c r="N38" s="345">
        <v>46.5</v>
      </c>
      <c r="O38" s="345">
        <v>80</v>
      </c>
      <c r="P38" s="345">
        <v>4</v>
      </c>
      <c r="Q38" s="349">
        <f t="shared" si="7"/>
        <v>28</v>
      </c>
      <c r="R38" s="349">
        <f t="shared" si="6"/>
        <v>4.335483870967742</v>
      </c>
      <c r="S38" s="350">
        <f t="shared" si="8"/>
        <v>0.0012043010752688173</v>
      </c>
    </row>
    <row r="39" spans="2:19" ht="30">
      <c r="B39" s="343" t="s">
        <v>273</v>
      </c>
      <c r="C39" s="351" t="s">
        <v>251</v>
      </c>
      <c r="D39" s="345">
        <v>2</v>
      </c>
      <c r="E39" s="345" t="s">
        <v>240</v>
      </c>
      <c r="F39" s="345">
        <v>3001.9</v>
      </c>
      <c r="G39" s="346">
        <v>3277</v>
      </c>
      <c r="H39" s="347">
        <f t="shared" si="0"/>
        <v>98.31</v>
      </c>
      <c r="I39" s="347">
        <f t="shared" si="1"/>
        <v>524.32</v>
      </c>
      <c r="J39" s="347">
        <f t="shared" si="2"/>
        <v>2654.3700000000003</v>
      </c>
      <c r="K39" s="348">
        <f t="shared" si="3"/>
        <v>2.7466241040000003</v>
      </c>
      <c r="L39" s="348">
        <f t="shared" si="4"/>
        <v>5.998640256000002</v>
      </c>
      <c r="M39" s="348">
        <f t="shared" si="5"/>
        <v>26.934423264000007</v>
      </c>
      <c r="N39" s="345">
        <v>25</v>
      </c>
      <c r="O39" s="345">
        <v>54</v>
      </c>
      <c r="P39" s="345">
        <v>3</v>
      </c>
      <c r="Q39" s="349">
        <f t="shared" si="7"/>
        <v>21</v>
      </c>
      <c r="R39" s="349">
        <f t="shared" si="6"/>
        <v>6.048000000000001</v>
      </c>
      <c r="S39" s="350">
        <f t="shared" si="8"/>
        <v>0.0016800000000000003</v>
      </c>
    </row>
    <row r="40" spans="2:19" ht="30">
      <c r="B40" s="343" t="s">
        <v>274</v>
      </c>
      <c r="C40" s="344" t="s">
        <v>252</v>
      </c>
      <c r="D40" s="345">
        <v>14</v>
      </c>
      <c r="E40" s="345" t="s">
        <v>245</v>
      </c>
      <c r="F40" s="345">
        <v>21892.2</v>
      </c>
      <c r="G40" s="346">
        <v>34866</v>
      </c>
      <c r="H40" s="347">
        <f t="shared" si="0"/>
        <v>1045.98</v>
      </c>
      <c r="I40" s="347">
        <f t="shared" si="1"/>
        <v>5578.56</v>
      </c>
      <c r="J40" s="347">
        <f t="shared" si="2"/>
        <v>28241.460000000003</v>
      </c>
      <c r="K40" s="348">
        <f t="shared" si="3"/>
        <v>138.2169279891892</v>
      </c>
      <c r="L40" s="348">
        <f t="shared" si="4"/>
        <v>301.86643563243246</v>
      </c>
      <c r="M40" s="348">
        <f t="shared" si="5"/>
        <v>1355.4068921513515</v>
      </c>
      <c r="N40" s="345">
        <v>37</v>
      </c>
      <c r="O40" s="345">
        <v>108</v>
      </c>
      <c r="P40" s="345">
        <v>21</v>
      </c>
      <c r="Q40" s="349">
        <f t="shared" si="7"/>
        <v>147</v>
      </c>
      <c r="R40" s="349">
        <f t="shared" si="6"/>
        <v>28.605405405405406</v>
      </c>
      <c r="S40" s="350">
        <f t="shared" si="8"/>
        <v>0.007945945945945946</v>
      </c>
    </row>
    <row r="41" spans="2:19" ht="30">
      <c r="B41" s="343" t="s">
        <v>69</v>
      </c>
      <c r="C41" s="344" t="s">
        <v>253</v>
      </c>
      <c r="D41" s="345">
        <v>17</v>
      </c>
      <c r="E41" s="345" t="s">
        <v>247</v>
      </c>
      <c r="F41" s="345">
        <v>18249.9</v>
      </c>
      <c r="G41" s="346">
        <v>35427</v>
      </c>
      <c r="H41" s="347">
        <f t="shared" si="0"/>
        <v>1062.81</v>
      </c>
      <c r="I41" s="347">
        <f t="shared" si="1"/>
        <v>5668.32</v>
      </c>
      <c r="J41" s="347">
        <f t="shared" si="2"/>
        <v>28695.870000000003</v>
      </c>
      <c r="K41" s="348">
        <f t="shared" si="3"/>
        <v>31.588522238297866</v>
      </c>
      <c r="L41" s="348">
        <f t="shared" si="4"/>
        <v>68.98948452765956</v>
      </c>
      <c r="M41" s="348">
        <f t="shared" si="5"/>
        <v>309.76886389787234</v>
      </c>
      <c r="N41" s="345">
        <v>23.5</v>
      </c>
      <c r="O41" s="345">
        <v>53</v>
      </c>
      <c r="P41" s="345">
        <v>3</v>
      </c>
      <c r="Q41" s="349">
        <f t="shared" si="7"/>
        <v>21</v>
      </c>
      <c r="R41" s="349">
        <f t="shared" si="6"/>
        <v>6.434042553191489</v>
      </c>
      <c r="S41" s="350">
        <f t="shared" si="8"/>
        <v>0.0017872340425531914</v>
      </c>
    </row>
    <row r="42" spans="2:19" ht="15.75" thickBot="1">
      <c r="B42" s="332" t="s">
        <v>254</v>
      </c>
      <c r="C42" s="352" t="s">
        <v>255</v>
      </c>
      <c r="D42" s="353">
        <v>5</v>
      </c>
      <c r="E42" s="353" t="s">
        <v>245</v>
      </c>
      <c r="F42" s="353">
        <v>7971.6</v>
      </c>
      <c r="G42" s="354">
        <v>9050</v>
      </c>
      <c r="H42" s="355">
        <f t="shared" si="0"/>
        <v>271.5</v>
      </c>
      <c r="I42" s="355">
        <f t="shared" si="1"/>
        <v>1448</v>
      </c>
      <c r="J42" s="355">
        <f t="shared" si="2"/>
        <v>7330.500000000001</v>
      </c>
      <c r="K42" s="356">
        <f t="shared" si="3"/>
        <v>17.6989764</v>
      </c>
      <c r="L42" s="356">
        <f t="shared" si="4"/>
        <v>38.654649600000006</v>
      </c>
      <c r="M42" s="356">
        <f t="shared" si="5"/>
        <v>173.56278240000006</v>
      </c>
      <c r="N42" s="353">
        <v>25</v>
      </c>
      <c r="O42" s="353">
        <f>51+40</f>
        <v>91</v>
      </c>
      <c r="P42" s="353">
        <v>7</v>
      </c>
      <c r="Q42" s="357">
        <f t="shared" si="7"/>
        <v>49</v>
      </c>
      <c r="R42" s="357">
        <f t="shared" si="6"/>
        <v>14.112000000000002</v>
      </c>
      <c r="S42" s="358">
        <f t="shared" si="8"/>
        <v>0.003920000000000001</v>
      </c>
    </row>
    <row r="43" spans="2:19" ht="15">
      <c r="B43" s="217"/>
      <c r="C43" s="218"/>
      <c r="D43" s="218"/>
      <c r="E43" s="218"/>
      <c r="F43" s="218">
        <f aca="true" t="shared" si="9" ref="F43:O43">SUM(F36:F42)</f>
        <v>75478.5</v>
      </c>
      <c r="G43" s="218">
        <f t="shared" si="9"/>
        <v>133918</v>
      </c>
      <c r="H43" s="218">
        <f t="shared" si="9"/>
        <v>4017.54</v>
      </c>
      <c r="I43" s="218">
        <f t="shared" si="9"/>
        <v>21426.88</v>
      </c>
      <c r="J43" s="218">
        <f t="shared" si="9"/>
        <v>108473.58000000002</v>
      </c>
      <c r="K43" s="219">
        <f t="shared" si="9"/>
        <v>373.242307991108</v>
      </c>
      <c r="L43" s="219">
        <f t="shared" si="9"/>
        <v>815.1629961657874</v>
      </c>
      <c r="M43" s="219">
        <f t="shared" si="9"/>
        <v>3660.153673312683</v>
      </c>
      <c r="N43" s="220">
        <f t="shared" si="9"/>
        <v>205</v>
      </c>
      <c r="O43" s="220">
        <f t="shared" si="9"/>
        <v>532</v>
      </c>
      <c r="P43" s="220"/>
      <c r="Q43" s="224"/>
      <c r="R43" s="224"/>
      <c r="S43" s="227"/>
    </row>
    <row r="44" spans="2:19" ht="15">
      <c r="B44" s="210"/>
      <c r="C44" s="209"/>
      <c r="D44" s="211"/>
      <c r="E44" s="211"/>
      <c r="F44" s="211"/>
      <c r="G44" s="211"/>
      <c r="H44" s="211"/>
      <c r="I44" s="207"/>
      <c r="J44" s="207" t="s">
        <v>256</v>
      </c>
      <c r="K44" s="221">
        <f>SUM(K43:M43)</f>
        <v>4848.558977469578</v>
      </c>
      <c r="L44" s="207"/>
      <c r="M44" s="207"/>
      <c r="N44" s="211"/>
      <c r="O44" s="211"/>
      <c r="P44" s="211"/>
      <c r="Q44" s="225"/>
      <c r="R44" s="225"/>
      <c r="S44" s="228"/>
    </row>
    <row r="45" spans="2:19" ht="15.75" thickBot="1">
      <c r="B45" s="212"/>
      <c r="C45" s="213"/>
      <c r="D45" s="214"/>
      <c r="E45" s="214"/>
      <c r="F45" s="214"/>
      <c r="G45" s="214"/>
      <c r="H45" s="214"/>
      <c r="I45" s="214"/>
      <c r="J45" s="215" t="s">
        <v>257</v>
      </c>
      <c r="K45" s="216">
        <f>K44*52</f>
        <v>252125.06682841806</v>
      </c>
      <c r="L45" s="215"/>
      <c r="M45" s="215"/>
      <c r="N45" s="214"/>
      <c r="O45" s="214"/>
      <c r="P45" s="214"/>
      <c r="Q45" s="226"/>
      <c r="R45" s="226"/>
      <c r="S45" s="97"/>
    </row>
    <row r="47" ht="15">
      <c r="B47" s="363" t="s">
        <v>8</v>
      </c>
    </row>
    <row r="49" ht="15">
      <c r="B49" s="107" t="s">
        <v>90</v>
      </c>
    </row>
    <row r="50" ht="15">
      <c r="B50" s="48"/>
    </row>
    <row r="51" ht="15">
      <c r="B51" s="1" t="s">
        <v>143</v>
      </c>
    </row>
    <row r="52" ht="15">
      <c r="B52" s="1" t="s">
        <v>101</v>
      </c>
    </row>
    <row r="53" ht="15">
      <c r="B53" s="1" t="s">
        <v>102</v>
      </c>
    </row>
    <row r="54" ht="15">
      <c r="B54" s="1" t="s">
        <v>103</v>
      </c>
    </row>
    <row r="55" ht="15">
      <c r="B55" s="1" t="s">
        <v>104</v>
      </c>
    </row>
    <row r="56" ht="15">
      <c r="B56" s="1" t="s">
        <v>105</v>
      </c>
    </row>
    <row r="57" ht="15">
      <c r="B57" s="1" t="s">
        <v>106</v>
      </c>
    </row>
    <row r="58" ht="15">
      <c r="B58" s="1" t="s">
        <v>107</v>
      </c>
    </row>
    <row r="59" ht="15">
      <c r="B59" s="1" t="s">
        <v>108</v>
      </c>
    </row>
    <row r="60" ht="15">
      <c r="B60" s="1" t="s">
        <v>109</v>
      </c>
    </row>
    <row r="61" ht="15">
      <c r="B61" s="1" t="s">
        <v>110</v>
      </c>
    </row>
    <row r="62" ht="15">
      <c r="B62" s="1" t="s">
        <v>111</v>
      </c>
    </row>
    <row r="63" ht="15.75" thickBot="1"/>
    <row r="64" spans="2:4" ht="15.75" thickBot="1">
      <c r="B64" s="6" t="s">
        <v>112</v>
      </c>
      <c r="C64" s="7" t="s">
        <v>113</v>
      </c>
      <c r="D64" s="7" t="s">
        <v>114</v>
      </c>
    </row>
    <row r="65" spans="2:4" ht="15">
      <c r="B65" s="80" t="s">
        <v>115</v>
      </c>
      <c r="C65" s="81"/>
      <c r="D65" s="82"/>
    </row>
    <row r="66" spans="2:4" ht="15">
      <c r="B66" s="83" t="s">
        <v>116</v>
      </c>
      <c r="C66" s="84">
        <v>5</v>
      </c>
      <c r="D66" s="81" t="s">
        <v>117</v>
      </c>
    </row>
    <row r="67" spans="2:4" ht="15">
      <c r="B67" s="83" t="s">
        <v>118</v>
      </c>
      <c r="C67" s="85">
        <v>0.2</v>
      </c>
      <c r="D67" s="81" t="s">
        <v>119</v>
      </c>
    </row>
    <row r="68" spans="2:4" ht="15">
      <c r="B68" s="83" t="s">
        <v>120</v>
      </c>
      <c r="C68" s="86">
        <v>0.15</v>
      </c>
      <c r="D68" s="81" t="s">
        <v>119</v>
      </c>
    </row>
    <row r="69" spans="2:4" ht="15">
      <c r="B69" s="83" t="s">
        <v>121</v>
      </c>
      <c r="C69" s="86">
        <v>0.1</v>
      </c>
      <c r="D69" s="81" t="s">
        <v>119</v>
      </c>
    </row>
    <row r="70" spans="2:4" ht="15">
      <c r="B70" s="83" t="s">
        <v>122</v>
      </c>
      <c r="C70" s="86">
        <v>0.75</v>
      </c>
      <c r="D70" s="87" t="s">
        <v>119</v>
      </c>
    </row>
    <row r="71" spans="2:4" ht="15">
      <c r="B71" s="83" t="s">
        <v>123</v>
      </c>
      <c r="C71" s="81">
        <v>1.23</v>
      </c>
      <c r="D71" s="81" t="s">
        <v>124</v>
      </c>
    </row>
    <row r="72" spans="2:4" ht="15.75" thickBot="1">
      <c r="B72" s="88" t="s">
        <v>125</v>
      </c>
      <c r="C72" s="208">
        <v>5</v>
      </c>
      <c r="D72" s="89" t="s">
        <v>126</v>
      </c>
    </row>
    <row r="73" ht="15.75" thickBot="1">
      <c r="C73" s="59"/>
    </row>
    <row r="74" spans="2:4" ht="15.75" thickBot="1">
      <c r="B74" s="6" t="s">
        <v>127</v>
      </c>
      <c r="C74" s="90" t="s">
        <v>113</v>
      </c>
      <c r="D74" s="7" t="s">
        <v>114</v>
      </c>
    </row>
    <row r="75" spans="2:4" ht="15">
      <c r="B75" s="91" t="s">
        <v>128</v>
      </c>
      <c r="C75" s="92">
        <v>14.62</v>
      </c>
      <c r="D75" s="93" t="s">
        <v>129</v>
      </c>
    </row>
    <row r="76" spans="2:4" ht="15">
      <c r="B76" s="94" t="s">
        <v>130</v>
      </c>
      <c r="C76" s="92">
        <v>30.99</v>
      </c>
      <c r="D76" s="93" t="s">
        <v>131</v>
      </c>
    </row>
    <row r="77" spans="2:4" ht="15.75" thickBot="1">
      <c r="B77" s="95" t="s">
        <v>132</v>
      </c>
      <c r="C77" s="96">
        <v>7.71</v>
      </c>
      <c r="D77" s="97" t="s">
        <v>131</v>
      </c>
    </row>
    <row r="78" ht="15">
      <c r="C78" s="59"/>
    </row>
    <row r="79" spans="2:3" ht="15">
      <c r="B79" s="1" t="s">
        <v>133</v>
      </c>
      <c r="C79" s="59"/>
    </row>
    <row r="80" spans="2:3" ht="15">
      <c r="B80" s="1" t="s">
        <v>134</v>
      </c>
      <c r="C80" s="59"/>
    </row>
    <row r="81" ht="15.75" thickBot="1">
      <c r="C81" s="59"/>
    </row>
    <row r="82" spans="2:3" ht="15.75" thickBot="1">
      <c r="B82" s="98" t="s">
        <v>135</v>
      </c>
      <c r="C82" s="99">
        <v>0.33</v>
      </c>
    </row>
    <row r="84" ht="18.75">
      <c r="B84" s="100" t="s">
        <v>22</v>
      </c>
    </row>
    <row r="85" ht="19.5" thickBot="1">
      <c r="B85" s="101"/>
    </row>
    <row r="86" spans="2:4" ht="15.75" thickBot="1">
      <c r="B86" s="74" t="s">
        <v>91</v>
      </c>
      <c r="C86" s="108" t="s">
        <v>179</v>
      </c>
      <c r="D86" s="108" t="s">
        <v>180</v>
      </c>
    </row>
    <row r="87" spans="2:4" ht="15">
      <c r="B87" s="146" t="s">
        <v>137</v>
      </c>
      <c r="C87" s="122">
        <v>52967</v>
      </c>
      <c r="D87" s="122">
        <v>49150</v>
      </c>
    </row>
    <row r="88" spans="2:4" ht="15.75" thickBot="1">
      <c r="B88" s="147" t="s">
        <v>181</v>
      </c>
      <c r="C88" s="148">
        <f>C87*C82</f>
        <v>17479.11</v>
      </c>
      <c r="D88" s="148">
        <f>D87*C82</f>
        <v>16219.5</v>
      </c>
    </row>
    <row r="89" spans="2:4" ht="15">
      <c r="B89" s="144" t="s">
        <v>92</v>
      </c>
      <c r="C89" s="145"/>
      <c r="D89" s="145"/>
    </row>
    <row r="90" spans="2:4" ht="15">
      <c r="B90" s="75" t="s">
        <v>93</v>
      </c>
      <c r="C90" s="109">
        <f>C88*$C$67*(C66/60)</f>
        <v>291.3185</v>
      </c>
      <c r="D90" s="109">
        <f>D88*$C$67*(C66/60)</f>
        <v>270.325</v>
      </c>
    </row>
    <row r="91" spans="2:4" ht="15">
      <c r="B91" s="76" t="s">
        <v>94</v>
      </c>
      <c r="C91" s="152">
        <f>SUM(($C$88*$C$68)*$C$75)+(($C$88*$C$69)*$C$76)+(($C$88*$C$70)*$C$77)</f>
        <v>193572.403695</v>
      </c>
      <c r="D91" s="152">
        <f>SUM(($D$88*$C$68)*$C$75)+(($D$88*$C$69)*$C$76)+(($D$88*$C$70)*$C$77)</f>
        <v>179622.85274999996</v>
      </c>
    </row>
    <row r="92" spans="2:4" ht="15">
      <c r="B92" s="77" t="s">
        <v>195</v>
      </c>
      <c r="C92" s="109">
        <f>C91/C88</f>
        <v>11.074499999999999</v>
      </c>
      <c r="D92" s="109">
        <f>D91/D88</f>
        <v>11.074499999999997</v>
      </c>
    </row>
    <row r="93" spans="2:4" ht="15">
      <c r="B93" s="77" t="s">
        <v>196</v>
      </c>
      <c r="C93" s="109">
        <f>C92*$C$71</f>
        <v>13.621634999999998</v>
      </c>
      <c r="D93" s="109">
        <f>D92*$C$71</f>
        <v>13.621634999999996</v>
      </c>
    </row>
    <row r="94" spans="2:4" ht="15.75" thickBot="1">
      <c r="B94" s="78" t="s">
        <v>97</v>
      </c>
      <c r="C94" s="152">
        <f>C90*C93</f>
        <v>3968.234275747499</v>
      </c>
      <c r="D94" s="152">
        <f>D90*D93</f>
        <v>3682.268481374999</v>
      </c>
    </row>
    <row r="95" spans="2:4" ht="15.75" thickBot="1">
      <c r="B95" s="79" t="s">
        <v>98</v>
      </c>
      <c r="C95" s="103">
        <f>C94*$C$72</f>
        <v>19841.171378737494</v>
      </c>
      <c r="D95" s="103">
        <f>D94*$C$72</f>
        <v>18411.342406874996</v>
      </c>
    </row>
    <row r="97" ht="15">
      <c r="B97" s="107" t="s">
        <v>99</v>
      </c>
    </row>
    <row r="99" ht="15.75" customHeight="1">
      <c r="B99" s="1" t="s">
        <v>100</v>
      </c>
    </row>
    <row r="100" ht="15">
      <c r="B100" s="1" t="s">
        <v>101</v>
      </c>
    </row>
    <row r="101" ht="15">
      <c r="B101" s="1" t="s">
        <v>102</v>
      </c>
    </row>
    <row r="102" ht="15">
      <c r="B102" s="1" t="s">
        <v>103</v>
      </c>
    </row>
    <row r="103" ht="15">
      <c r="B103" s="1" t="s">
        <v>104</v>
      </c>
    </row>
    <row r="104" ht="15">
      <c r="B104" s="1" t="s">
        <v>105</v>
      </c>
    </row>
    <row r="105" ht="15">
      <c r="B105" s="1" t="s">
        <v>106</v>
      </c>
    </row>
    <row r="106" ht="15">
      <c r="B106" s="1" t="s">
        <v>107</v>
      </c>
    </row>
    <row r="107" ht="15">
      <c r="B107" s="1" t="s">
        <v>108</v>
      </c>
    </row>
    <row r="108" ht="15">
      <c r="B108" s="1" t="s">
        <v>109</v>
      </c>
    </row>
    <row r="109" spans="2:6" ht="15">
      <c r="B109" s="1" t="s">
        <v>110</v>
      </c>
      <c r="E109" s="48"/>
      <c r="F109" s="107" t="s">
        <v>192</v>
      </c>
    </row>
    <row r="110" ht="15.75" thickBot="1">
      <c r="B110" s="1" t="s">
        <v>136</v>
      </c>
    </row>
    <row r="111" spans="5:7" ht="15.75" thickBot="1">
      <c r="E111" s="154"/>
      <c r="F111" s="131" t="s">
        <v>182</v>
      </c>
      <c r="G111" s="49" t="s">
        <v>183</v>
      </c>
    </row>
    <row r="112" spans="2:7" ht="15.75" thickBot="1">
      <c r="B112" s="6" t="s">
        <v>112</v>
      </c>
      <c r="C112" s="7" t="s">
        <v>113</v>
      </c>
      <c r="D112" s="7" t="s">
        <v>114</v>
      </c>
      <c r="E112" s="73"/>
      <c r="F112" s="132" t="s">
        <v>184</v>
      </c>
      <c r="G112" s="133">
        <v>19.7</v>
      </c>
    </row>
    <row r="113" spans="2:7" ht="15.75" thickBot="1">
      <c r="B113" s="80" t="s">
        <v>115</v>
      </c>
      <c r="C113" s="81"/>
      <c r="D113" s="82"/>
      <c r="E113" s="73"/>
      <c r="F113" s="134" t="s">
        <v>185</v>
      </c>
      <c r="G113" s="135">
        <v>13.7</v>
      </c>
    </row>
    <row r="114" spans="2:7" ht="15.75" thickBot="1">
      <c r="B114" s="83" t="s">
        <v>116</v>
      </c>
      <c r="C114" s="84">
        <v>1</v>
      </c>
      <c r="D114" s="81" t="s">
        <v>117</v>
      </c>
      <c r="E114" s="130"/>
      <c r="F114" s="136" t="s">
        <v>186</v>
      </c>
      <c r="G114" s="153">
        <f>SUM(G112:G113)</f>
        <v>33.4</v>
      </c>
    </row>
    <row r="115" spans="2:7" ht="15.75" thickBot="1">
      <c r="B115" s="83" t="s">
        <v>118</v>
      </c>
      <c r="C115" s="85">
        <v>0.2</v>
      </c>
      <c r="D115" s="81" t="s">
        <v>119</v>
      </c>
      <c r="E115" s="130"/>
      <c r="F115" s="136" t="s">
        <v>187</v>
      </c>
      <c r="G115" s="137">
        <v>198</v>
      </c>
    </row>
    <row r="116" spans="2:7" ht="15.75" thickBot="1">
      <c r="B116" s="83" t="s">
        <v>120</v>
      </c>
      <c r="C116" s="86">
        <v>0.15</v>
      </c>
      <c r="D116" s="81" t="s">
        <v>119</v>
      </c>
      <c r="E116" s="130"/>
      <c r="F116" s="136" t="s">
        <v>199</v>
      </c>
      <c r="G116" s="138">
        <f>G114/G115</f>
        <v>0.1686868686868687</v>
      </c>
    </row>
    <row r="117" spans="2:5" ht="15">
      <c r="B117" s="83" t="s">
        <v>121</v>
      </c>
      <c r="C117" s="86">
        <v>0.1</v>
      </c>
      <c r="D117" s="81" t="s">
        <v>119</v>
      </c>
      <c r="E117" s="73"/>
    </row>
    <row r="118" spans="2:5" ht="15.75" thickBot="1">
      <c r="B118" s="83" t="s">
        <v>122</v>
      </c>
      <c r="C118" s="86">
        <v>0.75</v>
      </c>
      <c r="D118" s="87" t="s">
        <v>119</v>
      </c>
      <c r="E118" s="73"/>
    </row>
    <row r="119" spans="2:7" ht="15.75" thickBot="1">
      <c r="B119" s="83" t="s">
        <v>123</v>
      </c>
      <c r="C119" s="81">
        <v>1.23</v>
      </c>
      <c r="D119" s="81" t="s">
        <v>124</v>
      </c>
      <c r="E119" s="130"/>
      <c r="F119" s="6" t="s">
        <v>188</v>
      </c>
      <c r="G119" s="49" t="s">
        <v>189</v>
      </c>
    </row>
    <row r="120" spans="2:7" ht="15.75" thickBot="1">
      <c r="B120" s="88" t="s">
        <v>205</v>
      </c>
      <c r="C120" s="102">
        <f>G126</f>
        <v>240.54747474747475</v>
      </c>
      <c r="D120" s="89" t="s">
        <v>204</v>
      </c>
      <c r="E120" s="130"/>
      <c r="F120" s="139" t="s">
        <v>201</v>
      </c>
      <c r="G120" s="140">
        <v>2852</v>
      </c>
    </row>
    <row r="121" spans="5:8" ht="15.75" thickBot="1">
      <c r="E121" s="73"/>
      <c r="H121" s="129" t="s">
        <v>193</v>
      </c>
    </row>
    <row r="122" spans="2:7" ht="15.75" thickBot="1">
      <c r="B122" s="6" t="s">
        <v>127</v>
      </c>
      <c r="C122" s="90" t="s">
        <v>113</v>
      </c>
      <c r="D122" s="7" t="s">
        <v>114</v>
      </c>
      <c r="E122" s="130"/>
      <c r="F122" s="142" t="s">
        <v>198</v>
      </c>
      <c r="G122" s="111" t="s">
        <v>191</v>
      </c>
    </row>
    <row r="123" spans="2:7" ht="15.75" thickBot="1">
      <c r="B123" s="91" t="s">
        <v>128</v>
      </c>
      <c r="C123" s="92">
        <v>14.62</v>
      </c>
      <c r="D123" s="93" t="s">
        <v>129</v>
      </c>
      <c r="E123" s="130"/>
      <c r="F123" s="139" t="s">
        <v>200</v>
      </c>
      <c r="G123" s="143">
        <v>1</v>
      </c>
    </row>
    <row r="124" spans="2:5" ht="15.75" thickBot="1">
      <c r="B124" s="94" t="s">
        <v>130</v>
      </c>
      <c r="C124" s="92">
        <v>30.99</v>
      </c>
      <c r="D124" s="93" t="s">
        <v>131</v>
      </c>
      <c r="E124" s="73"/>
    </row>
    <row r="125" spans="2:7" ht="15.75" thickBot="1">
      <c r="B125" s="95" t="s">
        <v>132</v>
      </c>
      <c r="C125" s="96">
        <v>7.71</v>
      </c>
      <c r="D125" s="97" t="s">
        <v>131</v>
      </c>
      <c r="E125" s="130"/>
      <c r="F125" s="6" t="s">
        <v>190</v>
      </c>
      <c r="G125" s="49" t="s">
        <v>197</v>
      </c>
    </row>
    <row r="126" spans="3:7" ht="15.75" thickBot="1">
      <c r="C126" s="59"/>
      <c r="E126" s="130"/>
      <c r="F126" s="139" t="s">
        <v>194</v>
      </c>
      <c r="G126" s="141">
        <f>G120*G123*0.5*G116</f>
        <v>240.54747474747475</v>
      </c>
    </row>
    <row r="127" spans="2:3" ht="15">
      <c r="B127" s="1" t="s">
        <v>133</v>
      </c>
      <c r="C127" s="59"/>
    </row>
    <row r="128" spans="2:3" ht="15">
      <c r="B128" s="1" t="s">
        <v>134</v>
      </c>
      <c r="C128" s="59"/>
    </row>
    <row r="129" ht="15.75" thickBot="1"/>
    <row r="130" spans="2:3" ht="15.75" thickBot="1">
      <c r="B130" s="98" t="s">
        <v>135</v>
      </c>
      <c r="C130" s="99">
        <v>0.33</v>
      </c>
    </row>
    <row r="132" ht="18.75">
      <c r="B132" s="100" t="s">
        <v>22</v>
      </c>
    </row>
    <row r="133" ht="15.75" thickBot="1"/>
    <row r="134" spans="2:4" ht="15.75" thickBot="1">
      <c r="B134" s="74" t="s">
        <v>91</v>
      </c>
      <c r="C134" s="108" t="s">
        <v>141</v>
      </c>
      <c r="D134" s="108" t="s">
        <v>142</v>
      </c>
    </row>
    <row r="135" spans="2:4" ht="15">
      <c r="B135" s="146" t="s">
        <v>137</v>
      </c>
      <c r="C135" s="122">
        <v>52967</v>
      </c>
      <c r="D135" s="122">
        <v>49150</v>
      </c>
    </row>
    <row r="136" spans="2:4" ht="15.75" thickBot="1">
      <c r="B136" s="147" t="s">
        <v>156</v>
      </c>
      <c r="C136" s="148">
        <f>C135*C130</f>
        <v>17479.11</v>
      </c>
      <c r="D136" s="148">
        <f>D135*C130</f>
        <v>16219.5</v>
      </c>
    </row>
    <row r="137" spans="2:4" ht="15">
      <c r="B137" s="144" t="s">
        <v>92</v>
      </c>
      <c r="C137" s="145"/>
      <c r="D137" s="145"/>
    </row>
    <row r="138" spans="2:4" ht="15">
      <c r="B138" s="75" t="s">
        <v>93</v>
      </c>
      <c r="C138" s="109">
        <f>C135*$C$115*(C114/60)</f>
        <v>176.5566666666667</v>
      </c>
      <c r="D138" s="109">
        <f>D135*$C$67*(C114/60)</f>
        <v>163.83333333333334</v>
      </c>
    </row>
    <row r="139" spans="2:4" ht="15">
      <c r="B139" s="76" t="s">
        <v>94</v>
      </c>
      <c r="C139" s="152">
        <f>SUM($C$136*$C$116*$C$123)+($C$136*$C$117*$C$124)+($C$136*$C$118*$C$125)</f>
        <v>193572.403695</v>
      </c>
      <c r="D139" s="152">
        <f>SUM($D$88*$C$68*$C$75)+($D$88*$C$69*$C$76)+($D$88*$C$70*$C$77)</f>
        <v>179622.85274999996</v>
      </c>
    </row>
    <row r="140" spans="2:4" ht="15">
      <c r="B140" s="77" t="s">
        <v>95</v>
      </c>
      <c r="C140" s="109">
        <f>C139/C135</f>
        <v>3.6545849999999995</v>
      </c>
      <c r="D140" s="109">
        <f>D139/D135</f>
        <v>3.654584999999999</v>
      </c>
    </row>
    <row r="141" spans="2:4" ht="15">
      <c r="B141" s="77" t="s">
        <v>96</v>
      </c>
      <c r="C141" s="109">
        <f>C140*$C$71</f>
        <v>4.495139549999999</v>
      </c>
      <c r="D141" s="109">
        <f>D140*$C$71</f>
        <v>4.495139549999998</v>
      </c>
    </row>
    <row r="142" spans="2:4" ht="15.75" thickBot="1">
      <c r="B142" s="78" t="s">
        <v>97</v>
      </c>
      <c r="C142" s="152">
        <f>C138*C141</f>
        <v>793.6468551495001</v>
      </c>
      <c r="D142" s="152">
        <f>D138*D141</f>
        <v>736.4536962749997</v>
      </c>
    </row>
    <row r="143" spans="2:4" ht="15.75" thickBot="1">
      <c r="B143" s="79" t="s">
        <v>98</v>
      </c>
      <c r="C143" s="103">
        <f>C142*$C$120</f>
        <v>190909.7468474871</v>
      </c>
      <c r="D143" s="103">
        <f>D142*$C$120</f>
        <v>177152.07690739495</v>
      </c>
    </row>
    <row r="145" ht="18.75">
      <c r="B145" s="18" t="s">
        <v>207</v>
      </c>
    </row>
    <row r="146" ht="15.75" thickBot="1"/>
    <row r="147" spans="2:4" ht="15.75" thickBot="1">
      <c r="B147" s="104" t="s">
        <v>138</v>
      </c>
      <c r="C147" s="105">
        <f>C95+C143</f>
        <v>210750.9182262246</v>
      </c>
      <c r="D147" s="105">
        <f>D95+D143</f>
        <v>195563.41931426994</v>
      </c>
    </row>
    <row r="148" spans="2:4" ht="15.75" thickBot="1">
      <c r="B148" s="106" t="s">
        <v>139</v>
      </c>
      <c r="C148" s="391">
        <f>SUM(C147:D147)</f>
        <v>406314.3375404945</v>
      </c>
      <c r="D148" s="392"/>
    </row>
    <row r="150" ht="15">
      <c r="B150" s="107" t="s">
        <v>206</v>
      </c>
    </row>
    <row r="151" ht="15.75" thickBot="1"/>
    <row r="152" spans="2:13" ht="15.75" thickBot="1">
      <c r="B152" s="6" t="s">
        <v>10</v>
      </c>
      <c r="C152" s="51" t="s">
        <v>11</v>
      </c>
      <c r="D152" s="52" t="s">
        <v>12</v>
      </c>
      <c r="E152" s="52" t="s">
        <v>13</v>
      </c>
      <c r="F152" s="52" t="s">
        <v>14</v>
      </c>
      <c r="G152" s="52" t="s">
        <v>15</v>
      </c>
      <c r="H152" s="52" t="s">
        <v>16</v>
      </c>
      <c r="I152" s="52" t="s">
        <v>17</v>
      </c>
      <c r="J152" s="52" t="s">
        <v>18</v>
      </c>
      <c r="K152" s="52" t="s">
        <v>79</v>
      </c>
      <c r="L152" s="61" t="s">
        <v>80</v>
      </c>
      <c r="M152" s="52" t="s">
        <v>85</v>
      </c>
    </row>
    <row r="153" spans="2:13" ht="15">
      <c r="B153" s="195" t="s">
        <v>203</v>
      </c>
      <c r="C153" s="196">
        <f>$K$45*0.5</f>
        <v>126062.53341420903</v>
      </c>
      <c r="D153" s="196">
        <f aca="true" t="shared" si="10" ref="D153:L153">$K$45</f>
        <v>252125.06682841806</v>
      </c>
      <c r="E153" s="196">
        <f t="shared" si="10"/>
        <v>252125.06682841806</v>
      </c>
      <c r="F153" s="196">
        <f t="shared" si="10"/>
        <v>252125.06682841806</v>
      </c>
      <c r="G153" s="196">
        <f t="shared" si="10"/>
        <v>252125.06682841806</v>
      </c>
      <c r="H153" s="196">
        <f t="shared" si="10"/>
        <v>252125.06682841806</v>
      </c>
      <c r="I153" s="196">
        <f t="shared" si="10"/>
        <v>252125.06682841806</v>
      </c>
      <c r="J153" s="196">
        <f t="shared" si="10"/>
        <v>252125.06682841806</v>
      </c>
      <c r="K153" s="196">
        <f t="shared" si="10"/>
        <v>252125.06682841806</v>
      </c>
      <c r="L153" s="321">
        <f t="shared" si="10"/>
        <v>252125.06682841806</v>
      </c>
      <c r="M153" s="323">
        <f>SUM(C153:L153)</f>
        <v>2395188.134869972</v>
      </c>
    </row>
    <row r="154" spans="2:13" ht="15.75" thickBot="1">
      <c r="B154" s="197" t="s">
        <v>202</v>
      </c>
      <c r="C154" s="198">
        <f>$C$148*0.5</f>
        <v>203157.16877024726</v>
      </c>
      <c r="D154" s="198">
        <f aca="true" t="shared" si="11" ref="D154:L154">$C$148</f>
        <v>406314.3375404945</v>
      </c>
      <c r="E154" s="198">
        <f t="shared" si="11"/>
        <v>406314.3375404945</v>
      </c>
      <c r="F154" s="198">
        <f t="shared" si="11"/>
        <v>406314.3375404945</v>
      </c>
      <c r="G154" s="198">
        <f t="shared" si="11"/>
        <v>406314.3375404945</v>
      </c>
      <c r="H154" s="198">
        <f t="shared" si="11"/>
        <v>406314.3375404945</v>
      </c>
      <c r="I154" s="198">
        <f t="shared" si="11"/>
        <v>406314.3375404945</v>
      </c>
      <c r="J154" s="198">
        <f t="shared" si="11"/>
        <v>406314.3375404945</v>
      </c>
      <c r="K154" s="198">
        <f t="shared" si="11"/>
        <v>406314.3375404945</v>
      </c>
      <c r="L154" s="322">
        <f t="shared" si="11"/>
        <v>406314.3375404945</v>
      </c>
      <c r="M154" s="324">
        <f>SUM(C154:L154)</f>
        <v>3859986.2066346975</v>
      </c>
    </row>
    <row r="156" ht="15">
      <c r="B156" s="1" t="s">
        <v>263</v>
      </c>
    </row>
  </sheetData>
  <sheetProtection/>
  <mergeCells count="3">
    <mergeCell ref="H32:J32"/>
    <mergeCell ref="K32:M32"/>
    <mergeCell ref="C148:D14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U60"/>
  <sheetViews>
    <sheetView zoomScalePageLayoutView="0" workbookViewId="0" topLeftCell="A1">
      <selection activeCell="B2" sqref="B2"/>
    </sheetView>
  </sheetViews>
  <sheetFormatPr defaultColWidth="9.140625" defaultRowHeight="15"/>
  <cols>
    <col min="1" max="1" width="6.140625" style="255" customWidth="1"/>
    <col min="2" max="2" width="90.7109375" style="255" customWidth="1"/>
    <col min="3" max="3" width="15.28125" style="255" bestFit="1" customWidth="1"/>
    <col min="4" max="12" width="12.57421875" style="255" bestFit="1" customWidth="1"/>
    <col min="13" max="13" width="19.140625" style="255" bestFit="1" customWidth="1"/>
    <col min="14" max="19" width="9.140625" style="255" customWidth="1"/>
    <col min="20" max="20" width="10.57421875" style="255" bestFit="1" customWidth="1"/>
    <col min="21" max="21" width="11.57421875" style="255" bestFit="1" customWidth="1"/>
    <col min="22" max="16384" width="9.140625" style="255" customWidth="1"/>
  </cols>
  <sheetData>
    <row r="2" ht="18.75">
      <c r="B2" s="254" t="s">
        <v>7</v>
      </c>
    </row>
    <row r="4" ht="15">
      <c r="B4" s="364" t="s">
        <v>170</v>
      </c>
    </row>
    <row r="5" spans="2:13" s="257" customFormat="1" ht="15.75" thickBot="1">
      <c r="B5" s="256"/>
      <c r="C5" s="393" t="s">
        <v>89</v>
      </c>
      <c r="D5" s="394"/>
      <c r="E5" s="255"/>
      <c r="F5" s="255"/>
      <c r="G5" s="255"/>
      <c r="H5" s="255"/>
      <c r="I5" s="255"/>
      <c r="J5" s="255"/>
      <c r="K5" s="255"/>
      <c r="L5" s="255"/>
      <c r="M5" s="255"/>
    </row>
    <row r="6" spans="2:13" s="257" customFormat="1" ht="15.75" thickBot="1">
      <c r="B6" s="258" t="s">
        <v>10</v>
      </c>
      <c r="C6" s="259" t="s">
        <v>11</v>
      </c>
      <c r="D6" s="260" t="s">
        <v>12</v>
      </c>
      <c r="E6" s="261" t="s">
        <v>13</v>
      </c>
      <c r="F6" s="261" t="s">
        <v>14</v>
      </c>
      <c r="G6" s="261" t="s">
        <v>15</v>
      </c>
      <c r="H6" s="261" t="s">
        <v>16</v>
      </c>
      <c r="I6" s="261" t="s">
        <v>17</v>
      </c>
      <c r="J6" s="261" t="s">
        <v>18</v>
      </c>
      <c r="K6" s="261" t="s">
        <v>79</v>
      </c>
      <c r="L6" s="262" t="s">
        <v>80</v>
      </c>
      <c r="M6" s="261" t="s">
        <v>19</v>
      </c>
    </row>
    <row r="7" spans="2:21" s="257" customFormat="1" ht="15">
      <c r="B7" s="263" t="s">
        <v>229</v>
      </c>
      <c r="C7" s="264">
        <v>561381.48</v>
      </c>
      <c r="D7" s="265"/>
      <c r="E7" s="266"/>
      <c r="F7" s="266"/>
      <c r="G7" s="266"/>
      <c r="H7" s="266"/>
      <c r="I7" s="266"/>
      <c r="J7" s="266"/>
      <c r="K7" s="266"/>
      <c r="L7" s="267"/>
      <c r="M7" s="280">
        <f>SUM(C7:L7)</f>
        <v>561381.48</v>
      </c>
      <c r="Q7" s="268"/>
      <c r="T7" s="269"/>
      <c r="U7" s="269"/>
    </row>
    <row r="8" spans="2:21" s="257" customFormat="1" ht="15">
      <c r="B8" s="270" t="s">
        <v>228</v>
      </c>
      <c r="C8" s="264">
        <v>81468</v>
      </c>
      <c r="D8" s="221"/>
      <c r="E8" s="271"/>
      <c r="F8" s="271"/>
      <c r="G8" s="271"/>
      <c r="H8" s="271"/>
      <c r="I8" s="271"/>
      <c r="J8" s="271"/>
      <c r="K8" s="271"/>
      <c r="L8" s="272"/>
      <c r="M8" s="280">
        <f>SUM(C8:L8)</f>
        <v>81468</v>
      </c>
      <c r="Q8" s="268"/>
      <c r="T8" s="269"/>
      <c r="U8" s="269"/>
    </row>
    <row r="9" spans="2:21" s="257" customFormat="1" ht="15">
      <c r="B9" s="270" t="s">
        <v>226</v>
      </c>
      <c r="C9" s="264">
        <v>59500</v>
      </c>
      <c r="D9" s="273"/>
      <c r="E9" s="274"/>
      <c r="F9" s="274"/>
      <c r="G9" s="274"/>
      <c r="H9" s="274">
        <v>12000</v>
      </c>
      <c r="I9" s="274">
        <v>12000</v>
      </c>
      <c r="J9" s="274">
        <v>12000</v>
      </c>
      <c r="K9" s="274">
        <v>12000</v>
      </c>
      <c r="L9" s="275">
        <v>12000</v>
      </c>
      <c r="M9" s="280">
        <f>SUM(C9:L9)</f>
        <v>119500</v>
      </c>
      <c r="Q9" s="268"/>
      <c r="T9" s="269"/>
      <c r="U9" s="269"/>
    </row>
    <row r="10" spans="2:21" s="257" customFormat="1" ht="15.75" thickBot="1">
      <c r="B10" s="270" t="s">
        <v>227</v>
      </c>
      <c r="C10" s="276">
        <v>158100</v>
      </c>
      <c r="D10" s="276"/>
      <c r="E10" s="277"/>
      <c r="F10" s="277"/>
      <c r="G10" s="277"/>
      <c r="H10" s="278"/>
      <c r="I10" s="278"/>
      <c r="J10" s="278"/>
      <c r="K10" s="278"/>
      <c r="L10" s="279"/>
      <c r="M10" s="280">
        <f>SUM(C10:L10)</f>
        <v>158100</v>
      </c>
      <c r="Q10" s="268"/>
      <c r="T10" s="269"/>
      <c r="U10" s="269"/>
    </row>
    <row r="11" spans="2:21" s="257" customFormat="1" ht="15.75" thickBot="1">
      <c r="B11" s="368" t="s">
        <v>276</v>
      </c>
      <c r="C11" s="369">
        <f aca="true" t="shared" si="0" ref="C11:L11">SUM(C7:C10)</f>
        <v>860449.48</v>
      </c>
      <c r="D11" s="369">
        <f t="shared" si="0"/>
        <v>0</v>
      </c>
      <c r="E11" s="369">
        <f t="shared" si="0"/>
        <v>0</v>
      </c>
      <c r="F11" s="369">
        <f t="shared" si="0"/>
        <v>0</v>
      </c>
      <c r="G11" s="369">
        <f t="shared" si="0"/>
        <v>0</v>
      </c>
      <c r="H11" s="369">
        <f t="shared" si="0"/>
        <v>12000</v>
      </c>
      <c r="I11" s="369">
        <f t="shared" si="0"/>
        <v>12000</v>
      </c>
      <c r="J11" s="369">
        <f t="shared" si="0"/>
        <v>12000</v>
      </c>
      <c r="K11" s="369">
        <f t="shared" si="0"/>
        <v>12000</v>
      </c>
      <c r="L11" s="370">
        <f t="shared" si="0"/>
        <v>12000</v>
      </c>
      <c r="M11" s="371">
        <f>SUM(C11:L11)</f>
        <v>920449.48</v>
      </c>
      <c r="Q11" s="268"/>
      <c r="T11" s="269"/>
      <c r="U11" s="269"/>
    </row>
    <row r="12" spans="2:21" s="257" customFormat="1" ht="15.75" thickBot="1">
      <c r="B12" s="368" t="s">
        <v>278</v>
      </c>
      <c r="C12" s="374">
        <f>3675+C11</f>
        <v>864124.48</v>
      </c>
      <c r="D12" s="374">
        <f>3675+D11</f>
        <v>3675</v>
      </c>
      <c r="E12" s="369">
        <f>E11</f>
        <v>0</v>
      </c>
      <c r="F12" s="369">
        <f aca="true" t="shared" si="1" ref="F12:L12">F11</f>
        <v>0</v>
      </c>
      <c r="G12" s="369">
        <f t="shared" si="1"/>
        <v>0</v>
      </c>
      <c r="H12" s="369">
        <f t="shared" si="1"/>
        <v>12000</v>
      </c>
      <c r="I12" s="369">
        <f t="shared" si="1"/>
        <v>12000</v>
      </c>
      <c r="J12" s="369">
        <f t="shared" si="1"/>
        <v>12000</v>
      </c>
      <c r="K12" s="369">
        <f t="shared" si="1"/>
        <v>12000</v>
      </c>
      <c r="L12" s="369">
        <f t="shared" si="1"/>
        <v>12000</v>
      </c>
      <c r="M12" s="371"/>
      <c r="Q12" s="268"/>
      <c r="T12" s="269"/>
      <c r="U12" s="269"/>
    </row>
    <row r="13" spans="2:21" s="257" customFormat="1" ht="15.75" thickBot="1">
      <c r="B13" s="368" t="s">
        <v>269</v>
      </c>
      <c r="C13" s="369">
        <f>C12*0.15</f>
        <v>129618.67199999999</v>
      </c>
      <c r="D13" s="369">
        <f aca="true" t="shared" si="2" ref="D13:L13">D12*0.15</f>
        <v>551.25</v>
      </c>
      <c r="E13" s="369">
        <f t="shared" si="2"/>
        <v>0</v>
      </c>
      <c r="F13" s="369">
        <f t="shared" si="2"/>
        <v>0</v>
      </c>
      <c r="G13" s="369">
        <f t="shared" si="2"/>
        <v>0</v>
      </c>
      <c r="H13" s="369">
        <f t="shared" si="2"/>
        <v>1800</v>
      </c>
      <c r="I13" s="369">
        <f t="shared" si="2"/>
        <v>1800</v>
      </c>
      <c r="J13" s="369">
        <f t="shared" si="2"/>
        <v>1800</v>
      </c>
      <c r="K13" s="369">
        <f t="shared" si="2"/>
        <v>1800</v>
      </c>
      <c r="L13" s="369">
        <f t="shared" si="2"/>
        <v>1800</v>
      </c>
      <c r="M13" s="371">
        <f>SUM(C13:L13)</f>
        <v>139169.922</v>
      </c>
      <c r="Q13" s="268"/>
      <c r="T13" s="269"/>
      <c r="U13" s="269"/>
    </row>
    <row r="14" spans="2:21" s="257" customFormat="1" ht="15.75" thickBot="1">
      <c r="B14" s="281" t="s">
        <v>20</v>
      </c>
      <c r="C14" s="282">
        <f>C13+C12</f>
        <v>993743.152</v>
      </c>
      <c r="D14" s="282">
        <f>D13+D12</f>
        <v>4226.25</v>
      </c>
      <c r="E14" s="282">
        <f>E13+E12</f>
        <v>0</v>
      </c>
      <c r="F14" s="282">
        <f>F13+F12</f>
        <v>0</v>
      </c>
      <c r="G14" s="282">
        <f>G13+G12</f>
        <v>0</v>
      </c>
      <c r="H14" s="282">
        <f>H13+H12</f>
        <v>13800</v>
      </c>
      <c r="I14" s="282">
        <f>I13+I12</f>
        <v>13800</v>
      </c>
      <c r="J14" s="282">
        <f>J13+J12</f>
        <v>13800</v>
      </c>
      <c r="K14" s="282">
        <f>K13+K12</f>
        <v>13800</v>
      </c>
      <c r="L14" s="282">
        <f>L13+L12</f>
        <v>13800</v>
      </c>
      <c r="M14" s="283">
        <f>SUM(C14:L14)</f>
        <v>1066969.402</v>
      </c>
      <c r="Q14" s="268"/>
      <c r="T14" s="269"/>
      <c r="U14" s="269"/>
    </row>
    <row r="15" spans="2:21" s="257" customFormat="1" ht="15">
      <c r="B15" s="284"/>
      <c r="C15" s="285"/>
      <c r="D15" s="285"/>
      <c r="E15" s="285"/>
      <c r="F15" s="285"/>
      <c r="G15" s="285"/>
      <c r="H15" s="285"/>
      <c r="I15" s="285"/>
      <c r="J15" s="285"/>
      <c r="K15" s="285"/>
      <c r="L15" s="285"/>
      <c r="M15" s="285"/>
      <c r="Q15" s="268"/>
      <c r="T15" s="269"/>
      <c r="U15" s="269"/>
    </row>
    <row r="16" spans="2:21" ht="15">
      <c r="B16" s="364" t="s">
        <v>157</v>
      </c>
      <c r="C16" s="286"/>
      <c r="T16" s="287"/>
      <c r="U16" s="288">
        <f>SUM(U7:U15)</f>
        <v>0</v>
      </c>
    </row>
    <row r="17" spans="2:4" ht="15.75" thickBot="1">
      <c r="B17" s="256"/>
      <c r="C17" s="393" t="s">
        <v>89</v>
      </c>
      <c r="D17" s="394"/>
    </row>
    <row r="18" spans="2:13" ht="15.75" thickBot="1">
      <c r="B18" s="289" t="s">
        <v>10</v>
      </c>
      <c r="C18" s="290" t="s">
        <v>11</v>
      </c>
      <c r="D18" s="291" t="s">
        <v>12</v>
      </c>
      <c r="E18" s="292" t="s">
        <v>13</v>
      </c>
      <c r="F18" s="292" t="s">
        <v>14</v>
      </c>
      <c r="G18" s="292" t="s">
        <v>15</v>
      </c>
      <c r="H18" s="292" t="s">
        <v>16</v>
      </c>
      <c r="I18" s="292" t="s">
        <v>17</v>
      </c>
      <c r="J18" s="292" t="s">
        <v>18</v>
      </c>
      <c r="K18" s="292" t="s">
        <v>79</v>
      </c>
      <c r="L18" s="293" t="s">
        <v>80</v>
      </c>
      <c r="M18" s="261" t="s">
        <v>19</v>
      </c>
    </row>
    <row r="19" spans="2:13" ht="15">
      <c r="B19" s="294" t="s">
        <v>176</v>
      </c>
      <c r="C19" s="295">
        <v>81000</v>
      </c>
      <c r="D19" s="296">
        <v>0</v>
      </c>
      <c r="E19" s="297">
        <v>0</v>
      </c>
      <c r="F19" s="297">
        <v>0</v>
      </c>
      <c r="G19" s="297">
        <v>0</v>
      </c>
      <c r="H19" s="297">
        <v>0</v>
      </c>
      <c r="I19" s="297">
        <v>0</v>
      </c>
      <c r="J19" s="297">
        <v>0</v>
      </c>
      <c r="K19" s="297">
        <v>0</v>
      </c>
      <c r="L19" s="325">
        <v>0</v>
      </c>
      <c r="M19" s="280">
        <f>SUM(C19:L19)</f>
        <v>81000</v>
      </c>
    </row>
    <row r="20" spans="2:13" ht="15">
      <c r="B20" s="270" t="s">
        <v>174</v>
      </c>
      <c r="C20" s="264">
        <v>27000</v>
      </c>
      <c r="D20" s="264">
        <v>0</v>
      </c>
      <c r="E20" s="298">
        <v>0</v>
      </c>
      <c r="F20" s="298">
        <v>0</v>
      </c>
      <c r="G20" s="298">
        <v>0</v>
      </c>
      <c r="H20" s="298">
        <v>0</v>
      </c>
      <c r="I20" s="298">
        <v>0</v>
      </c>
      <c r="J20" s="298">
        <v>0</v>
      </c>
      <c r="K20" s="298">
        <v>0</v>
      </c>
      <c r="L20" s="326">
        <v>0</v>
      </c>
      <c r="M20" s="280">
        <f>SUM(C20:L20)</f>
        <v>27000</v>
      </c>
    </row>
    <row r="21" spans="2:13" ht="15">
      <c r="B21" s="270" t="s">
        <v>175</v>
      </c>
      <c r="C21" s="264">
        <v>54000</v>
      </c>
      <c r="D21" s="273">
        <v>50000</v>
      </c>
      <c r="E21" s="298">
        <v>0</v>
      </c>
      <c r="F21" s="298">
        <v>0</v>
      </c>
      <c r="G21" s="298">
        <v>0</v>
      </c>
      <c r="H21" s="298">
        <v>0</v>
      </c>
      <c r="I21" s="298">
        <v>0</v>
      </c>
      <c r="J21" s="298">
        <v>0</v>
      </c>
      <c r="K21" s="298">
        <v>0</v>
      </c>
      <c r="L21" s="326">
        <v>0</v>
      </c>
      <c r="M21" s="280">
        <f>SUM(C21:L21)</f>
        <v>104000</v>
      </c>
    </row>
    <row r="22" spans="2:13" ht="15.75" thickBot="1">
      <c r="B22" s="299" t="s">
        <v>172</v>
      </c>
      <c r="C22" s="300">
        <v>5000</v>
      </c>
      <c r="D22" s="301">
        <v>5000</v>
      </c>
      <c r="E22" s="302">
        <v>5000</v>
      </c>
      <c r="F22" s="302">
        <v>5000</v>
      </c>
      <c r="G22" s="302">
        <v>5000</v>
      </c>
      <c r="H22" s="302">
        <v>5000</v>
      </c>
      <c r="I22" s="302">
        <v>5000</v>
      </c>
      <c r="J22" s="302">
        <v>5000</v>
      </c>
      <c r="K22" s="302">
        <v>5000</v>
      </c>
      <c r="L22" s="327">
        <v>5000</v>
      </c>
      <c r="M22" s="280">
        <f>SUM(C22:L22)</f>
        <v>50000</v>
      </c>
    </row>
    <row r="23" spans="2:13" ht="15.75" thickBot="1">
      <c r="B23" s="368" t="s">
        <v>276</v>
      </c>
      <c r="C23" s="372">
        <f>SUM(C19:C22)</f>
        <v>167000</v>
      </c>
      <c r="D23" s="372">
        <f aca="true" t="shared" si="3" ref="D23:L23">SUM(D19:D22)</f>
        <v>55000</v>
      </c>
      <c r="E23" s="372">
        <f t="shared" si="3"/>
        <v>5000</v>
      </c>
      <c r="F23" s="372">
        <f t="shared" si="3"/>
        <v>5000</v>
      </c>
      <c r="G23" s="372">
        <f t="shared" si="3"/>
        <v>5000</v>
      </c>
      <c r="H23" s="372">
        <f t="shared" si="3"/>
        <v>5000</v>
      </c>
      <c r="I23" s="372">
        <f t="shared" si="3"/>
        <v>5000</v>
      </c>
      <c r="J23" s="372">
        <f t="shared" si="3"/>
        <v>5000</v>
      </c>
      <c r="K23" s="372">
        <f t="shared" si="3"/>
        <v>5000</v>
      </c>
      <c r="L23" s="373">
        <f t="shared" si="3"/>
        <v>5000</v>
      </c>
      <c r="M23" s="371">
        <f>SUM(C23:L23)</f>
        <v>262000</v>
      </c>
    </row>
    <row r="24" spans="2:13" ht="15.75" thickBot="1">
      <c r="B24" s="368" t="s">
        <v>278</v>
      </c>
      <c r="C24" s="372">
        <f>1300+C23</f>
        <v>168300</v>
      </c>
      <c r="D24" s="372">
        <f>1300+D23</f>
        <v>56300</v>
      </c>
      <c r="E24" s="372">
        <f>E23</f>
        <v>5000</v>
      </c>
      <c r="F24" s="372">
        <f aca="true" t="shared" si="4" ref="F24:L24">F23</f>
        <v>5000</v>
      </c>
      <c r="G24" s="372">
        <f t="shared" si="4"/>
        <v>5000</v>
      </c>
      <c r="H24" s="372">
        <f t="shared" si="4"/>
        <v>5000</v>
      </c>
      <c r="I24" s="372">
        <f t="shared" si="4"/>
        <v>5000</v>
      </c>
      <c r="J24" s="372">
        <f t="shared" si="4"/>
        <v>5000</v>
      </c>
      <c r="K24" s="372">
        <f t="shared" si="4"/>
        <v>5000</v>
      </c>
      <c r="L24" s="372">
        <f t="shared" si="4"/>
        <v>5000</v>
      </c>
      <c r="M24" s="371"/>
    </row>
    <row r="25" spans="2:13" ht="15.75" thickBot="1">
      <c r="B25" s="368" t="s">
        <v>269</v>
      </c>
      <c r="C25" s="369">
        <f>C24*0.15</f>
        <v>25245</v>
      </c>
      <c r="D25" s="369">
        <f aca="true" t="shared" si="5" ref="D25:L25">D24*0.15</f>
        <v>8445</v>
      </c>
      <c r="E25" s="369">
        <f t="shared" si="5"/>
        <v>750</v>
      </c>
      <c r="F25" s="369">
        <f t="shared" si="5"/>
        <v>750</v>
      </c>
      <c r="G25" s="369">
        <f t="shared" si="5"/>
        <v>750</v>
      </c>
      <c r="H25" s="369">
        <f t="shared" si="5"/>
        <v>750</v>
      </c>
      <c r="I25" s="369">
        <f t="shared" si="5"/>
        <v>750</v>
      </c>
      <c r="J25" s="369">
        <f t="shared" si="5"/>
        <v>750</v>
      </c>
      <c r="K25" s="369">
        <f t="shared" si="5"/>
        <v>750</v>
      </c>
      <c r="L25" s="369">
        <f t="shared" si="5"/>
        <v>750</v>
      </c>
      <c r="M25" s="371">
        <f>SUM(C25:L25)</f>
        <v>39690</v>
      </c>
    </row>
    <row r="26" spans="2:13" ht="15.75" thickBot="1">
      <c r="B26" s="281" t="s">
        <v>20</v>
      </c>
      <c r="C26" s="282">
        <f>C25+C24</f>
        <v>193545</v>
      </c>
      <c r="D26" s="282">
        <f>D25+D24</f>
        <v>64745</v>
      </c>
      <c r="E26" s="282">
        <f>E25+E24</f>
        <v>5750</v>
      </c>
      <c r="F26" s="282">
        <f>F25+F24</f>
        <v>5750</v>
      </c>
      <c r="G26" s="282">
        <f>G25+G24</f>
        <v>5750</v>
      </c>
      <c r="H26" s="282">
        <f>H25+H24</f>
        <v>5750</v>
      </c>
      <c r="I26" s="282">
        <f>I25+I24</f>
        <v>5750</v>
      </c>
      <c r="J26" s="282">
        <f>J25+J24</f>
        <v>5750</v>
      </c>
      <c r="K26" s="282">
        <f>K25+K24</f>
        <v>5750</v>
      </c>
      <c r="L26" s="282">
        <f>L25+L24</f>
        <v>5750</v>
      </c>
      <c r="M26" s="283">
        <f>SUM(C26:L26)</f>
        <v>304290</v>
      </c>
    </row>
    <row r="27" ht="15">
      <c r="B27" s="256"/>
    </row>
    <row r="28" ht="15">
      <c r="B28" s="364" t="s">
        <v>8</v>
      </c>
    </row>
    <row r="29" spans="3:4" ht="15.75" thickBot="1">
      <c r="C29" s="393" t="s">
        <v>89</v>
      </c>
      <c r="D29" s="394"/>
    </row>
    <row r="30" spans="2:13" ht="15.75" thickBot="1">
      <c r="B30" s="303" t="s">
        <v>10</v>
      </c>
      <c r="C30" s="304" t="s">
        <v>11</v>
      </c>
      <c r="D30" s="305" t="s">
        <v>12</v>
      </c>
      <c r="E30" s="306" t="s">
        <v>13</v>
      </c>
      <c r="F30" s="306" t="s">
        <v>14</v>
      </c>
      <c r="G30" s="306" t="s">
        <v>15</v>
      </c>
      <c r="H30" s="306" t="s">
        <v>16</v>
      </c>
      <c r="I30" s="306" t="s">
        <v>17</v>
      </c>
      <c r="J30" s="306" t="s">
        <v>18</v>
      </c>
      <c r="K30" s="306" t="s">
        <v>79</v>
      </c>
      <c r="L30" s="307" t="s">
        <v>80</v>
      </c>
      <c r="M30" s="306" t="s">
        <v>19</v>
      </c>
    </row>
    <row r="31" spans="2:13" ht="15">
      <c r="B31" s="308" t="s">
        <v>146</v>
      </c>
      <c r="C31" s="309">
        <v>500000</v>
      </c>
      <c r="D31" s="276">
        <v>0</v>
      </c>
      <c r="E31" s="277">
        <v>5000</v>
      </c>
      <c r="F31" s="277">
        <v>5000</v>
      </c>
      <c r="G31" s="277">
        <v>5000</v>
      </c>
      <c r="H31" s="277">
        <v>5000</v>
      </c>
      <c r="I31" s="277">
        <v>5000</v>
      </c>
      <c r="J31" s="277">
        <v>5000</v>
      </c>
      <c r="K31" s="277">
        <v>5000</v>
      </c>
      <c r="L31" s="277">
        <v>5000</v>
      </c>
      <c r="M31" s="280">
        <f>SUM(C31:L31)</f>
        <v>540000</v>
      </c>
    </row>
    <row r="32" spans="2:13" ht="15">
      <c r="B32" s="310" t="s">
        <v>152</v>
      </c>
      <c r="C32" s="264">
        <v>0</v>
      </c>
      <c r="D32" s="264">
        <v>0</v>
      </c>
      <c r="E32" s="298">
        <v>0</v>
      </c>
      <c r="F32" s="298">
        <v>0</v>
      </c>
      <c r="G32" s="298">
        <v>0</v>
      </c>
      <c r="H32" s="311">
        <v>500000</v>
      </c>
      <c r="I32" s="298">
        <v>0</v>
      </c>
      <c r="J32" s="298">
        <v>0</v>
      </c>
      <c r="K32" s="298">
        <v>0</v>
      </c>
      <c r="L32" s="298">
        <v>0</v>
      </c>
      <c r="M32" s="280">
        <f aca="true" t="shared" si="6" ref="M32:M41">SUM(C32:L32)</f>
        <v>500000</v>
      </c>
    </row>
    <row r="33" spans="2:13" ht="15">
      <c r="B33" s="310" t="s">
        <v>264</v>
      </c>
      <c r="C33" s="273">
        <v>250000</v>
      </c>
      <c r="D33" s="264">
        <v>0</v>
      </c>
      <c r="E33" s="298">
        <v>0</v>
      </c>
      <c r="F33" s="298">
        <v>0</v>
      </c>
      <c r="G33" s="298">
        <v>0</v>
      </c>
      <c r="H33" s="298">
        <v>2500</v>
      </c>
      <c r="I33" s="298">
        <v>2500</v>
      </c>
      <c r="J33" s="298">
        <v>2500</v>
      </c>
      <c r="K33" s="298">
        <v>2500</v>
      </c>
      <c r="L33" s="298">
        <v>2500</v>
      </c>
      <c r="M33" s="280">
        <f t="shared" si="6"/>
        <v>262500</v>
      </c>
    </row>
    <row r="34" spans="2:13" ht="15">
      <c r="B34" s="310" t="s">
        <v>265</v>
      </c>
      <c r="C34" s="273">
        <v>300000</v>
      </c>
      <c r="D34" s="264">
        <v>0</v>
      </c>
      <c r="E34" s="298">
        <v>0</v>
      </c>
      <c r="F34" s="298">
        <v>0</v>
      </c>
      <c r="G34" s="298">
        <v>0</v>
      </c>
      <c r="H34" s="298">
        <v>0</v>
      </c>
      <c r="I34" s="298">
        <v>0</v>
      </c>
      <c r="J34" s="298">
        <v>0</v>
      </c>
      <c r="K34" s="298">
        <v>0</v>
      </c>
      <c r="L34" s="298">
        <v>0</v>
      </c>
      <c r="M34" s="280">
        <f t="shared" si="6"/>
        <v>300000</v>
      </c>
    </row>
    <row r="35" spans="2:13" ht="15">
      <c r="B35" s="310" t="s">
        <v>277</v>
      </c>
      <c r="C35" s="264">
        <v>60000</v>
      </c>
      <c r="D35" s="264"/>
      <c r="E35" s="298">
        <v>0</v>
      </c>
      <c r="F35" s="298">
        <v>0</v>
      </c>
      <c r="G35" s="298">
        <v>0</v>
      </c>
      <c r="H35" s="298">
        <v>0</v>
      </c>
      <c r="I35" s="298">
        <v>0</v>
      </c>
      <c r="J35" s="298">
        <v>0</v>
      </c>
      <c r="K35" s="298">
        <v>0</v>
      </c>
      <c r="L35" s="298">
        <v>0</v>
      </c>
      <c r="M35" s="280">
        <f t="shared" si="6"/>
        <v>60000</v>
      </c>
    </row>
    <row r="36" spans="2:13" ht="15">
      <c r="B36" s="310" t="s">
        <v>147</v>
      </c>
      <c r="C36" s="264">
        <v>0</v>
      </c>
      <c r="D36" s="273">
        <v>50000</v>
      </c>
      <c r="E36" s="298">
        <v>0</v>
      </c>
      <c r="F36" s="298">
        <v>0</v>
      </c>
      <c r="G36" s="298">
        <v>0</v>
      </c>
      <c r="H36" s="298">
        <v>0</v>
      </c>
      <c r="I36" s="298">
        <v>0</v>
      </c>
      <c r="J36" s="298">
        <v>0</v>
      </c>
      <c r="K36" s="298">
        <v>0</v>
      </c>
      <c r="L36" s="298">
        <v>0</v>
      </c>
      <c r="M36" s="280">
        <f t="shared" si="6"/>
        <v>50000</v>
      </c>
    </row>
    <row r="37" spans="2:13" ht="15">
      <c r="B37" s="310" t="s">
        <v>148</v>
      </c>
      <c r="C37" s="273">
        <v>150000</v>
      </c>
      <c r="D37" s="273">
        <v>150000</v>
      </c>
      <c r="E37" s="274">
        <v>100000</v>
      </c>
      <c r="F37" s="274">
        <v>100000</v>
      </c>
      <c r="G37" s="274">
        <v>100000</v>
      </c>
      <c r="H37" s="274">
        <v>100000</v>
      </c>
      <c r="I37" s="274">
        <v>100000</v>
      </c>
      <c r="J37" s="274">
        <v>100000</v>
      </c>
      <c r="K37" s="274">
        <v>100000</v>
      </c>
      <c r="L37" s="274">
        <v>100000</v>
      </c>
      <c r="M37" s="280">
        <f t="shared" si="6"/>
        <v>1100000</v>
      </c>
    </row>
    <row r="38" spans="2:13" ht="15">
      <c r="B38" s="310" t="s">
        <v>149</v>
      </c>
      <c r="C38" s="273">
        <v>200000</v>
      </c>
      <c r="D38" s="264">
        <v>0</v>
      </c>
      <c r="E38" s="298">
        <v>0</v>
      </c>
      <c r="F38" s="298">
        <v>0</v>
      </c>
      <c r="G38" s="298">
        <v>0</v>
      </c>
      <c r="H38" s="298">
        <v>0</v>
      </c>
      <c r="I38" s="298">
        <v>0</v>
      </c>
      <c r="J38" s="298">
        <v>0</v>
      </c>
      <c r="K38" s="298">
        <v>0</v>
      </c>
      <c r="L38" s="298">
        <v>0</v>
      </c>
      <c r="M38" s="280">
        <f t="shared" si="6"/>
        <v>200000</v>
      </c>
    </row>
    <row r="39" spans="2:13" ht="15">
      <c r="B39" s="310" t="s">
        <v>150</v>
      </c>
      <c r="C39" s="273">
        <v>50000</v>
      </c>
      <c r="D39" s="273">
        <v>50000</v>
      </c>
      <c r="E39" s="298">
        <v>0</v>
      </c>
      <c r="F39" s="298">
        <v>0</v>
      </c>
      <c r="G39" s="298">
        <v>0</v>
      </c>
      <c r="H39" s="298">
        <v>0</v>
      </c>
      <c r="I39" s="298">
        <v>0</v>
      </c>
      <c r="J39" s="298">
        <v>0</v>
      </c>
      <c r="K39" s="298">
        <v>0</v>
      </c>
      <c r="L39" s="298">
        <v>0</v>
      </c>
      <c r="M39" s="280">
        <f t="shared" si="6"/>
        <v>100000</v>
      </c>
    </row>
    <row r="40" spans="2:13" ht="15">
      <c r="B40" s="310" t="s">
        <v>151</v>
      </c>
      <c r="C40" s="264">
        <v>0</v>
      </c>
      <c r="D40" s="273">
        <v>50000</v>
      </c>
      <c r="E40" s="298">
        <v>0</v>
      </c>
      <c r="F40" s="298">
        <v>0</v>
      </c>
      <c r="G40" s="298">
        <v>0</v>
      </c>
      <c r="H40" s="298">
        <v>0</v>
      </c>
      <c r="I40" s="298">
        <v>0</v>
      </c>
      <c r="J40" s="298">
        <v>0</v>
      </c>
      <c r="K40" s="298">
        <v>0</v>
      </c>
      <c r="L40" s="298">
        <v>0</v>
      </c>
      <c r="M40" s="280">
        <f t="shared" si="6"/>
        <v>50000</v>
      </c>
    </row>
    <row r="41" spans="2:13" ht="15.75" thickBot="1">
      <c r="B41" s="312" t="s">
        <v>155</v>
      </c>
      <c r="C41" s="313">
        <v>80000</v>
      </c>
      <c r="D41" s="314">
        <v>0</v>
      </c>
      <c r="E41" s="298">
        <v>0</v>
      </c>
      <c r="F41" s="298">
        <v>0</v>
      </c>
      <c r="G41" s="298">
        <v>0</v>
      </c>
      <c r="H41" s="298">
        <v>0</v>
      </c>
      <c r="I41" s="298">
        <v>0</v>
      </c>
      <c r="J41" s="298">
        <v>0</v>
      </c>
      <c r="K41" s="298">
        <v>0</v>
      </c>
      <c r="L41" s="298">
        <v>0</v>
      </c>
      <c r="M41" s="280">
        <f t="shared" si="6"/>
        <v>80000</v>
      </c>
    </row>
    <row r="42" spans="2:13" ht="15.75" thickBot="1">
      <c r="B42" s="368" t="s">
        <v>276</v>
      </c>
      <c r="C42" s="366">
        <f aca="true" t="shared" si="7" ref="C42:L42">SUM(C31:C41)</f>
        <v>1590000</v>
      </c>
      <c r="D42" s="366">
        <f t="shared" si="7"/>
        <v>300000</v>
      </c>
      <c r="E42" s="366">
        <f t="shared" si="7"/>
        <v>105000</v>
      </c>
      <c r="F42" s="366">
        <f t="shared" si="7"/>
        <v>105000</v>
      </c>
      <c r="G42" s="366">
        <f t="shared" si="7"/>
        <v>105000</v>
      </c>
      <c r="H42" s="366">
        <f t="shared" si="7"/>
        <v>607500</v>
      </c>
      <c r="I42" s="366">
        <f t="shared" si="7"/>
        <v>107500</v>
      </c>
      <c r="J42" s="366">
        <f t="shared" si="7"/>
        <v>107500</v>
      </c>
      <c r="K42" s="366">
        <f t="shared" si="7"/>
        <v>107500</v>
      </c>
      <c r="L42" s="366">
        <f t="shared" si="7"/>
        <v>107500</v>
      </c>
      <c r="M42" s="367">
        <f>SUM(C42:L42)</f>
        <v>3242500</v>
      </c>
    </row>
    <row r="43" spans="2:13" ht="15.75" thickBot="1">
      <c r="B43" s="368" t="s">
        <v>278</v>
      </c>
      <c r="C43" s="374">
        <f>21750+C42</f>
        <v>1611750</v>
      </c>
      <c r="D43" s="374">
        <f>21750+D42</f>
        <v>321750</v>
      </c>
      <c r="E43" s="374">
        <f>E42</f>
        <v>105000</v>
      </c>
      <c r="F43" s="374">
        <f aca="true" t="shared" si="8" ref="F43:L43">F42</f>
        <v>105000</v>
      </c>
      <c r="G43" s="374">
        <f t="shared" si="8"/>
        <v>105000</v>
      </c>
      <c r="H43" s="374">
        <f t="shared" si="8"/>
        <v>607500</v>
      </c>
      <c r="I43" s="374">
        <f t="shared" si="8"/>
        <v>107500</v>
      </c>
      <c r="J43" s="374">
        <f t="shared" si="8"/>
        <v>107500</v>
      </c>
      <c r="K43" s="374">
        <f t="shared" si="8"/>
        <v>107500</v>
      </c>
      <c r="L43" s="374">
        <f t="shared" si="8"/>
        <v>107500</v>
      </c>
      <c r="M43" s="367"/>
    </row>
    <row r="44" spans="2:13" ht="15.75" thickBot="1">
      <c r="B44" s="368" t="s">
        <v>269</v>
      </c>
      <c r="C44" s="369">
        <f>C43*0.15</f>
        <v>241762.5</v>
      </c>
      <c r="D44" s="369">
        <f aca="true" t="shared" si="9" ref="D44:L44">D43*0.15</f>
        <v>48262.5</v>
      </c>
      <c r="E44" s="369">
        <f t="shared" si="9"/>
        <v>15750</v>
      </c>
      <c r="F44" s="369">
        <f t="shared" si="9"/>
        <v>15750</v>
      </c>
      <c r="G44" s="369">
        <f t="shared" si="9"/>
        <v>15750</v>
      </c>
      <c r="H44" s="369">
        <f t="shared" si="9"/>
        <v>91125</v>
      </c>
      <c r="I44" s="369">
        <f t="shared" si="9"/>
        <v>16125</v>
      </c>
      <c r="J44" s="369">
        <f t="shared" si="9"/>
        <v>16125</v>
      </c>
      <c r="K44" s="369">
        <f t="shared" si="9"/>
        <v>16125</v>
      </c>
      <c r="L44" s="369">
        <f t="shared" si="9"/>
        <v>16125</v>
      </c>
      <c r="M44" s="371">
        <f>SUM(C44:L44)</f>
        <v>492900</v>
      </c>
    </row>
    <row r="45" spans="2:13" ht="15.75" thickBot="1">
      <c r="B45" s="281" t="s">
        <v>20</v>
      </c>
      <c r="C45" s="282">
        <f>C44+C43</f>
        <v>1853512.5</v>
      </c>
      <c r="D45" s="282">
        <f>D44+D43</f>
        <v>370012.5</v>
      </c>
      <c r="E45" s="282">
        <f>E44+E43</f>
        <v>120750</v>
      </c>
      <c r="F45" s="282">
        <f>F44+F43</f>
        <v>120750</v>
      </c>
      <c r="G45" s="282">
        <f>G44+G43</f>
        <v>120750</v>
      </c>
      <c r="H45" s="282">
        <f>H44+H43</f>
        <v>698625</v>
      </c>
      <c r="I45" s="282">
        <f>I44+I43</f>
        <v>123625</v>
      </c>
      <c r="J45" s="282">
        <f>J44+J43</f>
        <v>123625</v>
      </c>
      <c r="K45" s="282">
        <f>K44+K43</f>
        <v>123625</v>
      </c>
      <c r="L45" s="282">
        <f>L44+L43</f>
        <v>123625</v>
      </c>
      <c r="M45" s="283">
        <f>SUM(C45:L45)</f>
        <v>3778900</v>
      </c>
    </row>
    <row r="47" ht="15">
      <c r="B47" s="364" t="s">
        <v>144</v>
      </c>
    </row>
    <row r="48" spans="3:4" ht="15.75" thickBot="1">
      <c r="C48" s="393" t="s">
        <v>89</v>
      </c>
      <c r="D48" s="394"/>
    </row>
    <row r="49" spans="2:13" ht="15.75" thickBot="1">
      <c r="B49" s="318" t="s">
        <v>10</v>
      </c>
      <c r="C49" s="304" t="s">
        <v>11</v>
      </c>
      <c r="D49" s="305" t="s">
        <v>12</v>
      </c>
      <c r="E49" s="319" t="s">
        <v>13</v>
      </c>
      <c r="F49" s="319" t="s">
        <v>14</v>
      </c>
      <c r="G49" s="319" t="s">
        <v>15</v>
      </c>
      <c r="H49" s="319" t="s">
        <v>16</v>
      </c>
      <c r="I49" s="319" t="s">
        <v>17</v>
      </c>
      <c r="J49" s="319" t="s">
        <v>18</v>
      </c>
      <c r="K49" s="319" t="s">
        <v>79</v>
      </c>
      <c r="L49" s="320" t="s">
        <v>80</v>
      </c>
      <c r="M49" s="319" t="s">
        <v>19</v>
      </c>
    </row>
    <row r="50" spans="2:13" ht="15.75" thickBot="1">
      <c r="B50" s="365" t="s">
        <v>177</v>
      </c>
      <c r="C50" s="314">
        <v>0</v>
      </c>
      <c r="D50" s="314">
        <v>10000</v>
      </c>
      <c r="E50" s="277">
        <v>5000</v>
      </c>
      <c r="F50" s="277">
        <v>5000</v>
      </c>
      <c r="G50" s="277">
        <v>5000</v>
      </c>
      <c r="H50" s="277">
        <v>5000</v>
      </c>
      <c r="I50" s="277">
        <v>5000</v>
      </c>
      <c r="J50" s="277">
        <v>5000</v>
      </c>
      <c r="K50" s="277">
        <v>5000</v>
      </c>
      <c r="L50" s="277">
        <v>5000</v>
      </c>
      <c r="M50" s="263">
        <f>SUM(C50:L50)</f>
        <v>50000</v>
      </c>
    </row>
    <row r="51" spans="2:13" ht="15.75" thickBot="1">
      <c r="B51" s="368" t="s">
        <v>276</v>
      </c>
      <c r="C51" s="366">
        <f>C50</f>
        <v>0</v>
      </c>
      <c r="D51" s="366">
        <f>D50</f>
        <v>10000</v>
      </c>
      <c r="E51" s="366">
        <f aca="true" t="shared" si="10" ref="E51:L51">E50</f>
        <v>5000</v>
      </c>
      <c r="F51" s="366">
        <f t="shared" si="10"/>
        <v>5000</v>
      </c>
      <c r="G51" s="366">
        <f t="shared" si="10"/>
        <v>5000</v>
      </c>
      <c r="H51" s="366">
        <f t="shared" si="10"/>
        <v>5000</v>
      </c>
      <c r="I51" s="366">
        <f t="shared" si="10"/>
        <v>5000</v>
      </c>
      <c r="J51" s="366">
        <f t="shared" si="10"/>
        <v>5000</v>
      </c>
      <c r="K51" s="366">
        <f t="shared" si="10"/>
        <v>5000</v>
      </c>
      <c r="L51" s="366">
        <f t="shared" si="10"/>
        <v>5000</v>
      </c>
      <c r="M51" s="367">
        <f>SUM(C51:L51)</f>
        <v>50000</v>
      </c>
    </row>
    <row r="52" spans="2:13" ht="15.75" thickBot="1">
      <c r="B52" s="368" t="s">
        <v>278</v>
      </c>
      <c r="C52" s="374">
        <f>2900+C51</f>
        <v>2900</v>
      </c>
      <c r="D52" s="374">
        <f>2900+D51</f>
        <v>12900</v>
      </c>
      <c r="E52" s="374">
        <f>E51</f>
        <v>5000</v>
      </c>
      <c r="F52" s="374">
        <f aca="true" t="shared" si="11" ref="F52:L52">F51</f>
        <v>5000</v>
      </c>
      <c r="G52" s="374">
        <f t="shared" si="11"/>
        <v>5000</v>
      </c>
      <c r="H52" s="374">
        <f t="shared" si="11"/>
        <v>5000</v>
      </c>
      <c r="I52" s="374">
        <f t="shared" si="11"/>
        <v>5000</v>
      </c>
      <c r="J52" s="374">
        <f t="shared" si="11"/>
        <v>5000</v>
      </c>
      <c r="K52" s="374">
        <f t="shared" si="11"/>
        <v>5000</v>
      </c>
      <c r="L52" s="374">
        <f t="shared" si="11"/>
        <v>5000</v>
      </c>
      <c r="M52" s="367"/>
    </row>
    <row r="53" spans="2:13" ht="15.75" thickBot="1">
      <c r="B53" s="368" t="s">
        <v>269</v>
      </c>
      <c r="C53" s="369">
        <f>C52*0.15</f>
        <v>435</v>
      </c>
      <c r="D53" s="369">
        <f aca="true" t="shared" si="12" ref="D53:L53">D52*0.15</f>
        <v>1935</v>
      </c>
      <c r="E53" s="369">
        <f t="shared" si="12"/>
        <v>750</v>
      </c>
      <c r="F53" s="369">
        <f t="shared" si="12"/>
        <v>750</v>
      </c>
      <c r="G53" s="369">
        <f t="shared" si="12"/>
        <v>750</v>
      </c>
      <c r="H53" s="369">
        <f t="shared" si="12"/>
        <v>750</v>
      </c>
      <c r="I53" s="369">
        <f t="shared" si="12"/>
        <v>750</v>
      </c>
      <c r="J53" s="369">
        <f t="shared" si="12"/>
        <v>750</v>
      </c>
      <c r="K53" s="369">
        <f t="shared" si="12"/>
        <v>750</v>
      </c>
      <c r="L53" s="369">
        <f t="shared" si="12"/>
        <v>750</v>
      </c>
      <c r="M53" s="371">
        <f>SUM(C53:L53)</f>
        <v>8370</v>
      </c>
    </row>
    <row r="54" spans="2:13" ht="15.75" thickBot="1">
      <c r="B54" s="281" t="s">
        <v>20</v>
      </c>
      <c r="C54" s="282">
        <f>C53+C52</f>
        <v>3335</v>
      </c>
      <c r="D54" s="282">
        <f aca="true" t="shared" si="13" ref="D54:L54">D53+D52</f>
        <v>14835</v>
      </c>
      <c r="E54" s="282">
        <f t="shared" si="13"/>
        <v>5750</v>
      </c>
      <c r="F54" s="282">
        <f t="shared" si="13"/>
        <v>5750</v>
      </c>
      <c r="G54" s="282">
        <f t="shared" si="13"/>
        <v>5750</v>
      </c>
      <c r="H54" s="282">
        <f t="shared" si="13"/>
        <v>5750</v>
      </c>
      <c r="I54" s="282">
        <f t="shared" si="13"/>
        <v>5750</v>
      </c>
      <c r="J54" s="282">
        <f t="shared" si="13"/>
        <v>5750</v>
      </c>
      <c r="K54" s="282">
        <f t="shared" si="13"/>
        <v>5750</v>
      </c>
      <c r="L54" s="282">
        <f t="shared" si="13"/>
        <v>5750</v>
      </c>
      <c r="M54" s="283">
        <f>SUM(C54:L54)</f>
        <v>64170</v>
      </c>
    </row>
    <row r="56" ht="15">
      <c r="B56" s="286" t="s">
        <v>153</v>
      </c>
    </row>
    <row r="57" spans="3:4" ht="15.75" thickBot="1">
      <c r="C57" s="393" t="s">
        <v>154</v>
      </c>
      <c r="D57" s="394"/>
    </row>
    <row r="58" spans="2:13" ht="15.75" thickBot="1">
      <c r="B58" s="318" t="s">
        <v>10</v>
      </c>
      <c r="C58" s="304" t="s">
        <v>11</v>
      </c>
      <c r="D58" s="305" t="s">
        <v>12</v>
      </c>
      <c r="E58" s="319" t="s">
        <v>13</v>
      </c>
      <c r="F58" s="319" t="s">
        <v>14</v>
      </c>
      <c r="G58" s="319" t="s">
        <v>15</v>
      </c>
      <c r="H58" s="319" t="s">
        <v>16</v>
      </c>
      <c r="I58" s="319" t="s">
        <v>17</v>
      </c>
      <c r="J58" s="319" t="s">
        <v>18</v>
      </c>
      <c r="K58" s="319" t="s">
        <v>79</v>
      </c>
      <c r="L58" s="320" t="s">
        <v>80</v>
      </c>
      <c r="M58" s="319" t="s">
        <v>19</v>
      </c>
    </row>
    <row r="59" spans="2:13" ht="15.75" thickBot="1">
      <c r="B59" s="315" t="s">
        <v>20</v>
      </c>
      <c r="C59" s="316">
        <f>SUM(C14+C26+C45+C54)</f>
        <v>3044135.652</v>
      </c>
      <c r="D59" s="316">
        <f>SUM(D14+D26+D45+D54)</f>
        <v>453818.75</v>
      </c>
      <c r="E59" s="316">
        <f aca="true" t="shared" si="14" ref="E59:L59">SUM(E11+E23+E42+E51)</f>
        <v>115000</v>
      </c>
      <c r="F59" s="316">
        <f t="shared" si="14"/>
        <v>115000</v>
      </c>
      <c r="G59" s="316">
        <f t="shared" si="14"/>
        <v>115000</v>
      </c>
      <c r="H59" s="316">
        <f t="shared" si="14"/>
        <v>629500</v>
      </c>
      <c r="I59" s="316">
        <f t="shared" si="14"/>
        <v>129500</v>
      </c>
      <c r="J59" s="316">
        <f t="shared" si="14"/>
        <v>129500</v>
      </c>
      <c r="K59" s="316">
        <f t="shared" si="14"/>
        <v>129500</v>
      </c>
      <c r="L59" s="316">
        <f t="shared" si="14"/>
        <v>129500</v>
      </c>
      <c r="M59" s="317">
        <f>SUM(C59:L59)</f>
        <v>4990454.402</v>
      </c>
    </row>
    <row r="60" spans="2:4" ht="15.75" thickBot="1">
      <c r="B60" s="328" t="s">
        <v>173</v>
      </c>
      <c r="C60" s="395">
        <f>SUM(C59:D59)</f>
        <v>3497954.402</v>
      </c>
      <c r="D60" s="396"/>
    </row>
  </sheetData>
  <sheetProtection/>
  <mergeCells count="6">
    <mergeCell ref="C5:D5"/>
    <mergeCell ref="C60:D60"/>
    <mergeCell ref="C57:D57"/>
    <mergeCell ref="C29:D29"/>
    <mergeCell ref="C17:D17"/>
    <mergeCell ref="C48:D4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M34"/>
  <sheetViews>
    <sheetView zoomScalePageLayoutView="0" workbookViewId="0" topLeftCell="A1">
      <selection activeCell="B2" sqref="B2"/>
    </sheetView>
  </sheetViews>
  <sheetFormatPr defaultColWidth="9.140625" defaultRowHeight="15"/>
  <cols>
    <col min="1" max="1" width="6.00390625" style="1" customWidth="1"/>
    <col min="2" max="2" width="37.8515625" style="1" bestFit="1" customWidth="1"/>
    <col min="3" max="12" width="14.28125" style="1" bestFit="1" customWidth="1"/>
    <col min="13" max="13" width="22.00390625" style="1" bestFit="1" customWidth="1"/>
    <col min="14" max="16384" width="9.140625" style="1" customWidth="1"/>
  </cols>
  <sheetData>
    <row r="2" ht="18.75">
      <c r="B2" s="194" t="s">
        <v>9</v>
      </c>
    </row>
    <row r="4" ht="15">
      <c r="B4" s="363" t="s">
        <v>170</v>
      </c>
    </row>
    <row r="5" spans="2:4" ht="15.75" thickBot="1">
      <c r="B5" s="5"/>
      <c r="C5" s="397"/>
      <c r="D5" s="398"/>
    </row>
    <row r="6" spans="2:13" ht="15.75" thickBot="1">
      <c r="B6" s="112" t="s">
        <v>10</v>
      </c>
      <c r="C6" s="113" t="s">
        <v>11</v>
      </c>
      <c r="D6" s="114" t="s">
        <v>12</v>
      </c>
      <c r="E6" s="114" t="s">
        <v>13</v>
      </c>
      <c r="F6" s="114" t="s">
        <v>14</v>
      </c>
      <c r="G6" s="114" t="s">
        <v>15</v>
      </c>
      <c r="H6" s="114" t="s">
        <v>16</v>
      </c>
      <c r="I6" s="114" t="s">
        <v>17</v>
      </c>
      <c r="J6" s="114" t="s">
        <v>18</v>
      </c>
      <c r="K6" s="114" t="s">
        <v>79</v>
      </c>
      <c r="L6" s="115" t="s">
        <v>80</v>
      </c>
      <c r="M6" s="116" t="s">
        <v>85</v>
      </c>
    </row>
    <row r="7" spans="2:13" ht="15">
      <c r="B7" s="157" t="s">
        <v>81</v>
      </c>
      <c r="C7" s="158">
        <v>5195740.660869567</v>
      </c>
      <c r="D7" s="158">
        <v>5195740.660869567</v>
      </c>
      <c r="E7" s="158">
        <v>5195740.660869567</v>
      </c>
      <c r="F7" s="158">
        <v>5195740.660869567</v>
      </c>
      <c r="G7" s="158">
        <v>5195740.660869567</v>
      </c>
      <c r="H7" s="158">
        <v>5195740.660869567</v>
      </c>
      <c r="I7" s="158">
        <v>5195740.660869567</v>
      </c>
      <c r="J7" s="158">
        <v>5195740.660869567</v>
      </c>
      <c r="K7" s="158">
        <v>5195740.660869567</v>
      </c>
      <c r="L7" s="159">
        <v>5195740.660869567</v>
      </c>
      <c r="M7" s="160">
        <v>44723306.7901448</v>
      </c>
    </row>
    <row r="8" spans="2:13" ht="15">
      <c r="B8" s="161" t="s">
        <v>82</v>
      </c>
      <c r="C8" s="158">
        <v>147430.16916126886</v>
      </c>
      <c r="D8" s="158">
        <v>142444.60788528394</v>
      </c>
      <c r="E8" s="158">
        <v>137627.64046887337</v>
      </c>
      <c r="F8" s="158">
        <v>132973.56567040907</v>
      </c>
      <c r="G8" s="158">
        <v>128476.87504387352</v>
      </c>
      <c r="H8" s="158">
        <v>124132.24641920146</v>
      </c>
      <c r="I8" s="158">
        <v>119934.5376030932</v>
      </c>
      <c r="J8" s="158">
        <v>115878.7802928437</v>
      </c>
      <c r="K8" s="158">
        <v>111960.17419598426</v>
      </c>
      <c r="L8" s="159">
        <v>108174.08134877706</v>
      </c>
      <c r="M8" s="160">
        <v>1269032.6780896087</v>
      </c>
    </row>
    <row r="9" spans="2:13" ht="15">
      <c r="B9" s="161" t="s">
        <v>83</v>
      </c>
      <c r="C9" s="158">
        <v>13531.932896407363</v>
      </c>
      <c r="D9" s="158">
        <v>13074.331300876678</v>
      </c>
      <c r="E9" s="158">
        <v>12632.204155436406</v>
      </c>
      <c r="F9" s="158">
        <v>12205.028169503774</v>
      </c>
      <c r="G9" s="159">
        <v>11792.297748312827</v>
      </c>
      <c r="H9" s="158">
        <v>11393.524394505148</v>
      </c>
      <c r="I9" s="158">
        <v>11008.236129956664</v>
      </c>
      <c r="J9" s="158">
        <v>10635.9769371562</v>
      </c>
      <c r="K9" s="158">
        <v>10276.30621947459</v>
      </c>
      <c r="L9" s="159">
        <v>9928.798279685594</v>
      </c>
      <c r="M9" s="160">
        <v>116478.63623131525</v>
      </c>
    </row>
    <row r="10" spans="2:13" ht="15.75" thickBot="1">
      <c r="B10" s="162"/>
      <c r="C10" s="158"/>
      <c r="D10" s="158"/>
      <c r="E10" s="158"/>
      <c r="F10" s="158"/>
      <c r="G10" s="158"/>
      <c r="H10" s="158"/>
      <c r="I10" s="158"/>
      <c r="J10" s="158"/>
      <c r="K10" s="158"/>
      <c r="L10" s="159"/>
      <c r="M10" s="160">
        <v>46108818.10446577</v>
      </c>
    </row>
    <row r="11" spans="2:13" ht="15.75" thickBot="1">
      <c r="B11" s="112" t="s">
        <v>20</v>
      </c>
      <c r="C11" s="163">
        <f aca="true" t="shared" si="0" ref="C11:L11">SUM(C7:C10)</f>
        <v>5356702.762927243</v>
      </c>
      <c r="D11" s="163">
        <f t="shared" si="0"/>
        <v>5351259.600055728</v>
      </c>
      <c r="E11" s="163">
        <f t="shared" si="0"/>
        <v>5346000.5054938765</v>
      </c>
      <c r="F11" s="163">
        <f t="shared" si="0"/>
        <v>5340919.254709479</v>
      </c>
      <c r="G11" s="163">
        <f t="shared" si="0"/>
        <v>5336009.833661754</v>
      </c>
      <c r="H11" s="163">
        <f t="shared" si="0"/>
        <v>5331266.431683273</v>
      </c>
      <c r="I11" s="163">
        <f t="shared" si="0"/>
        <v>5326683.434602616</v>
      </c>
      <c r="J11" s="163">
        <f t="shared" si="0"/>
        <v>5322255.418099566</v>
      </c>
      <c r="K11" s="163">
        <f t="shared" si="0"/>
        <v>5317977.1412850255</v>
      </c>
      <c r="L11" s="164">
        <f t="shared" si="0"/>
        <v>5313843.540498029</v>
      </c>
      <c r="M11" s="117">
        <f>SUM(C11:L11)</f>
        <v>53342917.92301659</v>
      </c>
    </row>
    <row r="13" ht="15">
      <c r="B13" s="62" t="s">
        <v>84</v>
      </c>
    </row>
    <row r="14" ht="15">
      <c r="B14" s="4" t="s">
        <v>88</v>
      </c>
    </row>
    <row r="15" ht="15">
      <c r="B15" s="4"/>
    </row>
    <row r="16" spans="3:4" ht="15.75" thickBot="1">
      <c r="C16" s="399" t="s">
        <v>89</v>
      </c>
      <c r="D16" s="399"/>
    </row>
    <row r="17" spans="2:13" ht="15.75" thickBot="1">
      <c r="B17" s="6" t="s">
        <v>10</v>
      </c>
      <c r="C17" s="165" t="s">
        <v>11</v>
      </c>
      <c r="D17" s="166" t="s">
        <v>12</v>
      </c>
      <c r="E17" s="7" t="s">
        <v>13</v>
      </c>
      <c r="F17" s="7" t="s">
        <v>14</v>
      </c>
      <c r="G17" s="7" t="s">
        <v>15</v>
      </c>
      <c r="H17" s="7" t="s">
        <v>16</v>
      </c>
      <c r="I17" s="7" t="s">
        <v>17</v>
      </c>
      <c r="J17" s="7" t="s">
        <v>18</v>
      </c>
      <c r="K17" s="7" t="s">
        <v>79</v>
      </c>
      <c r="L17" s="60" t="s">
        <v>80</v>
      </c>
      <c r="M17" s="8" t="s">
        <v>85</v>
      </c>
    </row>
    <row r="18" spans="2:13" ht="15">
      <c r="B18" s="56" t="s">
        <v>81</v>
      </c>
      <c r="C18" s="167">
        <f>(C7*0.14)*0.8</f>
        <v>581922.9540173915</v>
      </c>
      <c r="D18" s="167">
        <f>(D7*0.14)</f>
        <v>727403.6925217394</v>
      </c>
      <c r="E18" s="9">
        <f aca="true" t="shared" si="1" ref="E18:L18">E7*0.14</f>
        <v>727403.6925217394</v>
      </c>
      <c r="F18" s="9">
        <f t="shared" si="1"/>
        <v>727403.6925217394</v>
      </c>
      <c r="G18" s="9">
        <f t="shared" si="1"/>
        <v>727403.6925217394</v>
      </c>
      <c r="H18" s="9">
        <f t="shared" si="1"/>
        <v>727403.6925217394</v>
      </c>
      <c r="I18" s="9">
        <f t="shared" si="1"/>
        <v>727403.6925217394</v>
      </c>
      <c r="J18" s="9">
        <f t="shared" si="1"/>
        <v>727403.6925217394</v>
      </c>
      <c r="K18" s="9">
        <f t="shared" si="1"/>
        <v>727403.6925217394</v>
      </c>
      <c r="L18" s="9">
        <f t="shared" si="1"/>
        <v>727403.6925217394</v>
      </c>
      <c r="M18" s="10">
        <v>44723306.7901448</v>
      </c>
    </row>
    <row r="19" spans="2:13" ht="15">
      <c r="B19" s="53" t="s">
        <v>82</v>
      </c>
      <c r="C19" s="167">
        <f>(C8*0.14)*0.8</f>
        <v>16512.178946062115</v>
      </c>
      <c r="D19" s="167">
        <f aca="true" t="shared" si="2" ref="C19:L21">D8*0.14</f>
        <v>19942.245103939753</v>
      </c>
      <c r="E19" s="9">
        <f t="shared" si="2"/>
        <v>19267.869665642273</v>
      </c>
      <c r="F19" s="9">
        <f t="shared" si="2"/>
        <v>18616.29919385727</v>
      </c>
      <c r="G19" s="9">
        <f t="shared" si="2"/>
        <v>17986.762506142295</v>
      </c>
      <c r="H19" s="9">
        <f t="shared" si="2"/>
        <v>17378.514498688204</v>
      </c>
      <c r="I19" s="9">
        <f t="shared" si="2"/>
        <v>16790.835264433048</v>
      </c>
      <c r="J19" s="9">
        <f t="shared" si="2"/>
        <v>16223.02924099812</v>
      </c>
      <c r="K19" s="9">
        <f t="shared" si="2"/>
        <v>15674.424387437799</v>
      </c>
      <c r="L19" s="9">
        <f t="shared" si="2"/>
        <v>15144.371388828791</v>
      </c>
      <c r="M19" s="10">
        <v>1269032.6780896087</v>
      </c>
    </row>
    <row r="20" spans="2:13" ht="15">
      <c r="B20" s="53" t="s">
        <v>83</v>
      </c>
      <c r="C20" s="167">
        <f>(C9*0.14)*0.8</f>
        <v>1515.5764843976249</v>
      </c>
      <c r="D20" s="167">
        <f t="shared" si="2"/>
        <v>1830.406382122735</v>
      </c>
      <c r="E20" s="9">
        <f t="shared" si="2"/>
        <v>1768.508581761097</v>
      </c>
      <c r="F20" s="9">
        <f t="shared" si="2"/>
        <v>1708.7039437305284</v>
      </c>
      <c r="G20" s="9">
        <f t="shared" si="2"/>
        <v>1650.9216847637958</v>
      </c>
      <c r="H20" s="9">
        <f t="shared" si="2"/>
        <v>1595.093415230721</v>
      </c>
      <c r="I20" s="9">
        <f t="shared" si="2"/>
        <v>1541.153058193933</v>
      </c>
      <c r="J20" s="9">
        <f t="shared" si="2"/>
        <v>1489.036771201868</v>
      </c>
      <c r="K20" s="9">
        <f t="shared" si="2"/>
        <v>1438.6828707264428</v>
      </c>
      <c r="L20" s="9">
        <f t="shared" si="2"/>
        <v>1390.0317591559833</v>
      </c>
      <c r="M20" s="11">
        <v>116478.63623131525</v>
      </c>
    </row>
    <row r="21" spans="2:13" ht="15.75" thickBot="1">
      <c r="B21" s="53"/>
      <c r="C21" s="167">
        <f t="shared" si="2"/>
        <v>0</v>
      </c>
      <c r="D21" s="167">
        <f t="shared" si="2"/>
        <v>0</v>
      </c>
      <c r="E21" s="9">
        <f t="shared" si="2"/>
        <v>0</v>
      </c>
      <c r="F21" s="9">
        <f t="shared" si="2"/>
        <v>0</v>
      </c>
      <c r="G21" s="9">
        <f t="shared" si="2"/>
        <v>0</v>
      </c>
      <c r="H21" s="9">
        <f t="shared" si="2"/>
        <v>0</v>
      </c>
      <c r="I21" s="9">
        <f t="shared" si="2"/>
        <v>0</v>
      </c>
      <c r="J21" s="9">
        <f t="shared" si="2"/>
        <v>0</v>
      </c>
      <c r="K21" s="9">
        <f t="shared" si="2"/>
        <v>0</v>
      </c>
      <c r="L21" s="9">
        <f t="shared" si="2"/>
        <v>0</v>
      </c>
      <c r="M21" s="11">
        <v>46108818.10446577</v>
      </c>
    </row>
    <row r="22" spans="2:13" ht="15.75" thickBot="1">
      <c r="B22" s="12" t="s">
        <v>20</v>
      </c>
      <c r="C22" s="13">
        <f aca="true" t="shared" si="3" ref="C22:L22">SUM(C18:C21)</f>
        <v>599950.7094478513</v>
      </c>
      <c r="D22" s="13">
        <f t="shared" si="3"/>
        <v>749176.344007802</v>
      </c>
      <c r="E22" s="13">
        <f t="shared" si="3"/>
        <v>748440.0707691428</v>
      </c>
      <c r="F22" s="13">
        <f t="shared" si="3"/>
        <v>747728.6956593272</v>
      </c>
      <c r="G22" s="13">
        <f t="shared" si="3"/>
        <v>747041.3767126454</v>
      </c>
      <c r="H22" s="13">
        <f t="shared" si="3"/>
        <v>746377.3004356583</v>
      </c>
      <c r="I22" s="13">
        <f t="shared" si="3"/>
        <v>745735.6808443664</v>
      </c>
      <c r="J22" s="13">
        <f t="shared" si="3"/>
        <v>745115.7585339394</v>
      </c>
      <c r="K22" s="13">
        <f t="shared" si="3"/>
        <v>744516.7997799036</v>
      </c>
      <c r="L22" s="14">
        <f t="shared" si="3"/>
        <v>743938.0956697243</v>
      </c>
      <c r="M22" s="15">
        <f>SUM(C22:L22)</f>
        <v>7318020.831860362</v>
      </c>
    </row>
    <row r="24" spans="2:3" ht="15">
      <c r="B24" s="363" t="s">
        <v>157</v>
      </c>
      <c r="C24" s="48"/>
    </row>
    <row r="25" spans="3:4" ht="15.75" thickBot="1">
      <c r="C25" s="399" t="s">
        <v>89</v>
      </c>
      <c r="D25" s="400"/>
    </row>
    <row r="26" spans="2:13" ht="15.75" thickBot="1">
      <c r="B26" s="6" t="s">
        <v>10</v>
      </c>
      <c r="C26" s="165" t="s">
        <v>11</v>
      </c>
      <c r="D26" s="166" t="s">
        <v>12</v>
      </c>
      <c r="E26" s="7" t="s">
        <v>13</v>
      </c>
      <c r="F26" s="7" t="s">
        <v>14</v>
      </c>
      <c r="G26" s="7" t="s">
        <v>15</v>
      </c>
      <c r="H26" s="7" t="s">
        <v>16</v>
      </c>
      <c r="I26" s="7" t="s">
        <v>17</v>
      </c>
      <c r="J26" s="7" t="s">
        <v>18</v>
      </c>
      <c r="K26" s="7" t="s">
        <v>79</v>
      </c>
      <c r="L26" s="60" t="s">
        <v>80</v>
      </c>
      <c r="M26" s="8" t="s">
        <v>85</v>
      </c>
    </row>
    <row r="27" spans="2:13" ht="15.75" thickBot="1">
      <c r="B27" s="155" t="s">
        <v>81</v>
      </c>
      <c r="C27" s="168">
        <f>Impacts!C153</f>
        <v>126062.53341420903</v>
      </c>
      <c r="D27" s="168">
        <f>Impacts!D153</f>
        <v>252125.06682841806</v>
      </c>
      <c r="E27" s="156">
        <f>Impacts!E153</f>
        <v>252125.06682841806</v>
      </c>
      <c r="F27" s="156">
        <f>Impacts!F153</f>
        <v>252125.06682841806</v>
      </c>
      <c r="G27" s="156">
        <f>Impacts!G153</f>
        <v>252125.06682841806</v>
      </c>
      <c r="H27" s="156">
        <f>Impacts!H153</f>
        <v>252125.06682841806</v>
      </c>
      <c r="I27" s="156">
        <f>Impacts!I153</f>
        <v>252125.06682841806</v>
      </c>
      <c r="J27" s="156">
        <f>Impacts!J153</f>
        <v>252125.06682841806</v>
      </c>
      <c r="K27" s="156">
        <f>Impacts!K153</f>
        <v>252125.06682841806</v>
      </c>
      <c r="L27" s="156">
        <f>Impacts!L153</f>
        <v>252125.06682841806</v>
      </c>
      <c r="M27" s="10">
        <f>SUM(C27:L27)</f>
        <v>2395188.134869972</v>
      </c>
    </row>
    <row r="28" spans="2:13" ht="15.75" thickBot="1">
      <c r="B28" s="12" t="s">
        <v>20</v>
      </c>
      <c r="C28" s="13">
        <f aca="true" t="shared" si="4" ref="C28:L28">SUM(C27:C27)</f>
        <v>126062.53341420903</v>
      </c>
      <c r="D28" s="13">
        <f t="shared" si="4"/>
        <v>252125.06682841806</v>
      </c>
      <c r="E28" s="13">
        <f t="shared" si="4"/>
        <v>252125.06682841806</v>
      </c>
      <c r="F28" s="13">
        <f t="shared" si="4"/>
        <v>252125.06682841806</v>
      </c>
      <c r="G28" s="13">
        <f t="shared" si="4"/>
        <v>252125.06682841806</v>
      </c>
      <c r="H28" s="13">
        <f t="shared" si="4"/>
        <v>252125.06682841806</v>
      </c>
      <c r="I28" s="13">
        <f t="shared" si="4"/>
        <v>252125.06682841806</v>
      </c>
      <c r="J28" s="13">
        <f t="shared" si="4"/>
        <v>252125.06682841806</v>
      </c>
      <c r="K28" s="13">
        <f t="shared" si="4"/>
        <v>252125.06682841806</v>
      </c>
      <c r="L28" s="14">
        <f t="shared" si="4"/>
        <v>252125.06682841806</v>
      </c>
      <c r="M28" s="15">
        <f>SUM(C28:L28)</f>
        <v>2395188.134869972</v>
      </c>
    </row>
    <row r="30" ht="15">
      <c r="B30" s="363" t="s">
        <v>8</v>
      </c>
    </row>
    <row r="31" spans="3:4" ht="15.75" thickBot="1">
      <c r="C31" s="399" t="s">
        <v>89</v>
      </c>
      <c r="D31" s="400"/>
    </row>
    <row r="32" spans="2:13" ht="15.75" thickBot="1">
      <c r="B32" s="6" t="s">
        <v>10</v>
      </c>
      <c r="C32" s="165" t="s">
        <v>11</v>
      </c>
      <c r="D32" s="166" t="s">
        <v>12</v>
      </c>
      <c r="E32" s="7" t="s">
        <v>13</v>
      </c>
      <c r="F32" s="7" t="s">
        <v>14</v>
      </c>
      <c r="G32" s="7" t="s">
        <v>15</v>
      </c>
      <c r="H32" s="7" t="s">
        <v>16</v>
      </c>
      <c r="I32" s="7" t="s">
        <v>17</v>
      </c>
      <c r="J32" s="7" t="s">
        <v>18</v>
      </c>
      <c r="K32" s="7" t="s">
        <v>79</v>
      </c>
      <c r="L32" s="7" t="s">
        <v>80</v>
      </c>
      <c r="M32" s="8" t="s">
        <v>85</v>
      </c>
    </row>
    <row r="33" spans="2:13" ht="15.75" thickBot="1">
      <c r="B33" s="155" t="s">
        <v>81</v>
      </c>
      <c r="C33" s="168">
        <f>Impacts!C154</f>
        <v>203157.16877024726</v>
      </c>
      <c r="D33" s="168">
        <f>Impacts!D154</f>
        <v>406314.3375404945</v>
      </c>
      <c r="E33" s="156">
        <f>Impacts!E154</f>
        <v>406314.3375404945</v>
      </c>
      <c r="F33" s="156">
        <f>Impacts!F154</f>
        <v>406314.3375404945</v>
      </c>
      <c r="G33" s="156">
        <f>Impacts!G154</f>
        <v>406314.3375404945</v>
      </c>
      <c r="H33" s="156">
        <f>Impacts!H154</f>
        <v>406314.3375404945</v>
      </c>
      <c r="I33" s="156">
        <f>Impacts!I154</f>
        <v>406314.3375404945</v>
      </c>
      <c r="J33" s="156">
        <f>Impacts!J154</f>
        <v>406314.3375404945</v>
      </c>
      <c r="K33" s="156">
        <f>Impacts!K154</f>
        <v>406314.3375404945</v>
      </c>
      <c r="L33" s="156">
        <f>Impacts!L154</f>
        <v>406314.3375404945</v>
      </c>
      <c r="M33" s="10">
        <f>SUM(C33:L33)</f>
        <v>3859986.2066346975</v>
      </c>
    </row>
    <row r="34" spans="2:13" ht="15.75" thickBot="1">
      <c r="B34" s="12" t="s">
        <v>20</v>
      </c>
      <c r="C34" s="13">
        <f aca="true" t="shared" si="5" ref="C34:L34">SUM(C33:C33)</f>
        <v>203157.16877024726</v>
      </c>
      <c r="D34" s="13">
        <f t="shared" si="5"/>
        <v>406314.3375404945</v>
      </c>
      <c r="E34" s="13">
        <f t="shared" si="5"/>
        <v>406314.3375404945</v>
      </c>
      <c r="F34" s="13">
        <f t="shared" si="5"/>
        <v>406314.3375404945</v>
      </c>
      <c r="G34" s="13">
        <f t="shared" si="5"/>
        <v>406314.3375404945</v>
      </c>
      <c r="H34" s="13">
        <f t="shared" si="5"/>
        <v>406314.3375404945</v>
      </c>
      <c r="I34" s="13">
        <f t="shared" si="5"/>
        <v>406314.3375404945</v>
      </c>
      <c r="J34" s="13">
        <f t="shared" si="5"/>
        <v>406314.3375404945</v>
      </c>
      <c r="K34" s="13">
        <f t="shared" si="5"/>
        <v>406314.3375404945</v>
      </c>
      <c r="L34" s="14">
        <f t="shared" si="5"/>
        <v>406314.3375404945</v>
      </c>
      <c r="M34" s="15">
        <f>SUM(C34:L34)</f>
        <v>3859986.2066346975</v>
      </c>
    </row>
  </sheetData>
  <sheetProtection/>
  <mergeCells count="4">
    <mergeCell ref="C5:D5"/>
    <mergeCell ref="C16:D16"/>
    <mergeCell ref="C31:D31"/>
    <mergeCell ref="C25:D2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36"/>
  <sheetViews>
    <sheetView tabSelected="1" zoomScalePageLayoutView="0" workbookViewId="0" topLeftCell="A1">
      <selection activeCell="B2" sqref="B2"/>
    </sheetView>
  </sheetViews>
  <sheetFormatPr defaultColWidth="9.140625" defaultRowHeight="15"/>
  <cols>
    <col min="1" max="1" width="6.421875" style="1" customWidth="1"/>
    <col min="2" max="2" width="44.421875" style="1" customWidth="1"/>
    <col min="3" max="12" width="14.57421875" style="1" bestFit="1" customWidth="1"/>
    <col min="13" max="13" width="15.28125" style="1" bestFit="1" customWidth="1"/>
    <col min="14" max="16384" width="9.140625" style="1" customWidth="1"/>
  </cols>
  <sheetData>
    <row r="2" ht="18.75">
      <c r="B2" s="194" t="s">
        <v>279</v>
      </c>
    </row>
    <row r="3" ht="18.75">
      <c r="B3" s="194"/>
    </row>
    <row r="4" spans="3:4" ht="15.75" thickBot="1">
      <c r="C4" s="399" t="s">
        <v>89</v>
      </c>
      <c r="D4" s="400"/>
    </row>
    <row r="5" spans="2:13" ht="15.75" thickBot="1">
      <c r="B5" s="19" t="s">
        <v>24</v>
      </c>
      <c r="C5" s="240" t="s">
        <v>11</v>
      </c>
      <c r="D5" s="241" t="s">
        <v>12</v>
      </c>
      <c r="E5" s="242" t="s">
        <v>13</v>
      </c>
      <c r="F5" s="242" t="s">
        <v>14</v>
      </c>
      <c r="G5" s="242" t="s">
        <v>15</v>
      </c>
      <c r="H5" s="242" t="s">
        <v>16</v>
      </c>
      <c r="I5" s="242" t="s">
        <v>17</v>
      </c>
      <c r="J5" s="242" t="s">
        <v>18</v>
      </c>
      <c r="K5" s="242" t="s">
        <v>79</v>
      </c>
      <c r="L5" s="242" t="s">
        <v>80</v>
      </c>
      <c r="M5" s="243" t="s">
        <v>268</v>
      </c>
    </row>
    <row r="6" spans="2:13" ht="15">
      <c r="B6" s="54" t="s">
        <v>170</v>
      </c>
      <c r="C6" s="229">
        <f>Costs!C14</f>
        <v>993743.152</v>
      </c>
      <c r="D6" s="229">
        <f>Costs!D14</f>
        <v>4226.25</v>
      </c>
      <c r="E6" s="229">
        <f>Costs!E14</f>
        <v>0</v>
      </c>
      <c r="F6" s="229">
        <f>Costs!F14</f>
        <v>0</v>
      </c>
      <c r="G6" s="229">
        <f>Costs!G14</f>
        <v>0</v>
      </c>
      <c r="H6" s="229">
        <f>Costs!H14</f>
        <v>13800</v>
      </c>
      <c r="I6" s="229">
        <f>Costs!I14</f>
        <v>13800</v>
      </c>
      <c r="J6" s="229">
        <f>Costs!J14</f>
        <v>13800</v>
      </c>
      <c r="K6" s="229">
        <f>Costs!K14</f>
        <v>13800</v>
      </c>
      <c r="L6" s="229">
        <f>Costs!L14</f>
        <v>13800</v>
      </c>
      <c r="M6" s="230">
        <f>SUM(C6:L6)</f>
        <v>1066969.402</v>
      </c>
    </row>
    <row r="7" spans="2:13" ht="15">
      <c r="B7" s="54" t="s">
        <v>158</v>
      </c>
      <c r="C7" s="229">
        <f>Costs!C26</f>
        <v>193545</v>
      </c>
      <c r="D7" s="229">
        <f>Costs!D26</f>
        <v>64745</v>
      </c>
      <c r="E7" s="229">
        <f>Costs!E26</f>
        <v>5750</v>
      </c>
      <c r="F7" s="229">
        <f>Costs!F26</f>
        <v>5750</v>
      </c>
      <c r="G7" s="229">
        <f>Costs!G26</f>
        <v>5750</v>
      </c>
      <c r="H7" s="229">
        <f>Costs!H26</f>
        <v>5750</v>
      </c>
      <c r="I7" s="229">
        <f>Costs!I26</f>
        <v>5750</v>
      </c>
      <c r="J7" s="229">
        <f>Costs!J26</f>
        <v>5750</v>
      </c>
      <c r="K7" s="229">
        <f>Costs!K26</f>
        <v>5750</v>
      </c>
      <c r="L7" s="229">
        <f>Costs!L26</f>
        <v>5750</v>
      </c>
      <c r="M7" s="230">
        <f>SUM(C7:L7)</f>
        <v>304290</v>
      </c>
    </row>
    <row r="8" spans="2:13" ht="15">
      <c r="B8" s="54" t="s">
        <v>8</v>
      </c>
      <c r="C8" s="231">
        <f>Costs!C45</f>
        <v>1853512.5</v>
      </c>
      <c r="D8" s="231">
        <f>Costs!D45</f>
        <v>370012.5</v>
      </c>
      <c r="E8" s="231">
        <f>Costs!E45</f>
        <v>120750</v>
      </c>
      <c r="F8" s="231">
        <f>Costs!F45</f>
        <v>120750</v>
      </c>
      <c r="G8" s="231">
        <f>Costs!G45</f>
        <v>120750</v>
      </c>
      <c r="H8" s="231">
        <f>Costs!H45</f>
        <v>698625</v>
      </c>
      <c r="I8" s="231">
        <f>Costs!I45</f>
        <v>123625</v>
      </c>
      <c r="J8" s="231">
        <f>Costs!J45</f>
        <v>123625</v>
      </c>
      <c r="K8" s="231">
        <f>Costs!K45</f>
        <v>123625</v>
      </c>
      <c r="L8" s="231">
        <f>Costs!L45</f>
        <v>123625</v>
      </c>
      <c r="M8" s="230">
        <f>SUM(C8:L8)</f>
        <v>3778900</v>
      </c>
    </row>
    <row r="9" spans="2:13" ht="15">
      <c r="B9" s="54" t="s">
        <v>270</v>
      </c>
      <c r="C9" s="231">
        <f>Costs!C54</f>
        <v>3335</v>
      </c>
      <c r="D9" s="231">
        <f>Costs!D54</f>
        <v>14835</v>
      </c>
      <c r="E9" s="231">
        <f>Costs!E54</f>
        <v>5750</v>
      </c>
      <c r="F9" s="231">
        <f>Costs!F54</f>
        <v>5750</v>
      </c>
      <c r="G9" s="231">
        <f>Costs!G54</f>
        <v>5750</v>
      </c>
      <c r="H9" s="231">
        <f>Costs!H54</f>
        <v>5750</v>
      </c>
      <c r="I9" s="231">
        <f>Costs!I54</f>
        <v>5750</v>
      </c>
      <c r="J9" s="231">
        <f>Costs!J54</f>
        <v>5750</v>
      </c>
      <c r="K9" s="231">
        <f>Costs!K54</f>
        <v>5750</v>
      </c>
      <c r="L9" s="231">
        <f>Costs!L54</f>
        <v>5750</v>
      </c>
      <c r="M9" s="230">
        <f>SUM(C9:L9)</f>
        <v>64170</v>
      </c>
    </row>
    <row r="10" spans="2:13" ht="15">
      <c r="B10" s="20" t="s">
        <v>25</v>
      </c>
      <c r="C10" s="232">
        <f aca="true" t="shared" si="0" ref="C10:L10">SUM(C6:C8)</f>
        <v>3040800.652</v>
      </c>
      <c r="D10" s="232">
        <f t="shared" si="0"/>
        <v>438983.75</v>
      </c>
      <c r="E10" s="232">
        <f t="shared" si="0"/>
        <v>126500</v>
      </c>
      <c r="F10" s="232">
        <f t="shared" si="0"/>
        <v>126500</v>
      </c>
      <c r="G10" s="232">
        <f t="shared" si="0"/>
        <v>126500</v>
      </c>
      <c r="H10" s="232">
        <f t="shared" si="0"/>
        <v>718175</v>
      </c>
      <c r="I10" s="232">
        <f t="shared" si="0"/>
        <v>143175</v>
      </c>
      <c r="J10" s="232">
        <f t="shared" si="0"/>
        <v>143175</v>
      </c>
      <c r="K10" s="232">
        <f t="shared" si="0"/>
        <v>143175</v>
      </c>
      <c r="L10" s="232">
        <f t="shared" si="0"/>
        <v>143175</v>
      </c>
      <c r="M10" s="233">
        <f>SUM(C10:L10)</f>
        <v>5150159.402</v>
      </c>
    </row>
    <row r="11" spans="2:13" ht="15.75" thickBot="1">
      <c r="B11" s="21" t="s">
        <v>21</v>
      </c>
      <c r="C11" s="234">
        <f aca="true" t="shared" si="1" ref="C11:L11">C10/(1+$C$36)</f>
        <v>2937971.644444444</v>
      </c>
      <c r="D11" s="234">
        <f t="shared" si="1"/>
        <v>424138.88888888893</v>
      </c>
      <c r="E11" s="234">
        <f t="shared" si="1"/>
        <v>122222.22222222223</v>
      </c>
      <c r="F11" s="234">
        <f t="shared" si="1"/>
        <v>122222.22222222223</v>
      </c>
      <c r="G11" s="234">
        <f t="shared" si="1"/>
        <v>122222.22222222223</v>
      </c>
      <c r="H11" s="234">
        <f t="shared" si="1"/>
        <v>693888.888888889</v>
      </c>
      <c r="I11" s="234">
        <f t="shared" si="1"/>
        <v>138333.33333333334</v>
      </c>
      <c r="J11" s="234">
        <f t="shared" si="1"/>
        <v>138333.33333333334</v>
      </c>
      <c r="K11" s="234">
        <f t="shared" si="1"/>
        <v>138333.33333333334</v>
      </c>
      <c r="L11" s="234">
        <f t="shared" si="1"/>
        <v>138333.33333333334</v>
      </c>
      <c r="M11" s="235">
        <f>SUM(C11:L11)</f>
        <v>4975999.42222222</v>
      </c>
    </row>
    <row r="12" spans="2:13" ht="15.75" thickBot="1">
      <c r="B12" s="19" t="s">
        <v>26</v>
      </c>
      <c r="C12" s="63"/>
      <c r="D12" s="64"/>
      <c r="E12" s="65"/>
      <c r="F12" s="65"/>
      <c r="G12" s="65"/>
      <c r="H12" s="65"/>
      <c r="I12" s="65"/>
      <c r="J12" s="65"/>
      <c r="K12" s="65"/>
      <c r="L12" s="65"/>
      <c r="M12" s="66"/>
    </row>
    <row r="13" spans="2:13" ht="15">
      <c r="B13" s="54" t="s">
        <v>170</v>
      </c>
      <c r="C13" s="236">
        <f>Benefits!C22</f>
        <v>599950.7094478513</v>
      </c>
      <c r="D13" s="236">
        <f>Benefits!D22</f>
        <v>749176.344007802</v>
      </c>
      <c r="E13" s="236">
        <f>Benefits!E22</f>
        <v>748440.0707691428</v>
      </c>
      <c r="F13" s="236">
        <f>Benefits!F22</f>
        <v>747728.6956593272</v>
      </c>
      <c r="G13" s="236">
        <f>Benefits!G22</f>
        <v>747041.3767126454</v>
      </c>
      <c r="H13" s="236">
        <f>Benefits!H22</f>
        <v>746377.3004356583</v>
      </c>
      <c r="I13" s="236">
        <f>Benefits!I22</f>
        <v>745735.6808443664</v>
      </c>
      <c r="J13" s="236">
        <f>Benefits!J22</f>
        <v>745115.7585339394</v>
      </c>
      <c r="K13" s="236">
        <f>Benefits!K22</f>
        <v>744516.7997799036</v>
      </c>
      <c r="L13" s="236">
        <f>Benefits!L22</f>
        <v>743938.0956697243</v>
      </c>
      <c r="M13" s="230">
        <f>SUM(C13:L13)</f>
        <v>7318020.831860362</v>
      </c>
    </row>
    <row r="14" spans="2:13" ht="15">
      <c r="B14" s="55" t="s">
        <v>159</v>
      </c>
      <c r="C14" s="237">
        <f>Benefits!C27</f>
        <v>126062.53341420903</v>
      </c>
      <c r="D14" s="237">
        <f>Benefits!D27</f>
        <v>252125.06682841806</v>
      </c>
      <c r="E14" s="237">
        <f>Benefits!E27</f>
        <v>252125.06682841806</v>
      </c>
      <c r="F14" s="237">
        <f>Benefits!F27</f>
        <v>252125.06682841806</v>
      </c>
      <c r="G14" s="237">
        <f>Benefits!G27</f>
        <v>252125.06682841806</v>
      </c>
      <c r="H14" s="237">
        <f>Benefits!H27</f>
        <v>252125.06682841806</v>
      </c>
      <c r="I14" s="237">
        <f>Benefits!I27</f>
        <v>252125.06682841806</v>
      </c>
      <c r="J14" s="237">
        <f>Benefits!J27</f>
        <v>252125.06682841806</v>
      </c>
      <c r="K14" s="237">
        <f>Benefits!K27</f>
        <v>252125.06682841806</v>
      </c>
      <c r="L14" s="237">
        <f>Benefits!L27</f>
        <v>252125.06682841806</v>
      </c>
      <c r="M14" s="238">
        <f>SUM(C14:L14)</f>
        <v>2395188.134869972</v>
      </c>
    </row>
    <row r="15" spans="2:13" ht="15">
      <c r="B15" s="54" t="s">
        <v>8</v>
      </c>
      <c r="C15" s="237">
        <f>Benefits!C33</f>
        <v>203157.16877024726</v>
      </c>
      <c r="D15" s="237">
        <f>Benefits!D34</f>
        <v>406314.3375404945</v>
      </c>
      <c r="E15" s="237">
        <f>Benefits!E34</f>
        <v>406314.3375404945</v>
      </c>
      <c r="F15" s="237">
        <f>Benefits!F34</f>
        <v>406314.3375404945</v>
      </c>
      <c r="G15" s="237">
        <f>Benefits!G34</f>
        <v>406314.3375404945</v>
      </c>
      <c r="H15" s="237">
        <f>Benefits!H34</f>
        <v>406314.3375404945</v>
      </c>
      <c r="I15" s="237">
        <f>Benefits!I34</f>
        <v>406314.3375404945</v>
      </c>
      <c r="J15" s="237">
        <f>Benefits!J34</f>
        <v>406314.3375404945</v>
      </c>
      <c r="K15" s="237">
        <f>Benefits!K34</f>
        <v>406314.3375404945</v>
      </c>
      <c r="L15" s="237">
        <f>Benefits!L34</f>
        <v>406314.3375404945</v>
      </c>
      <c r="M15" s="238">
        <f>SUM(C15:L15)</f>
        <v>3859986.2066346975</v>
      </c>
    </row>
    <row r="16" spans="2:13" ht="15">
      <c r="B16" s="22" t="s">
        <v>140</v>
      </c>
      <c r="C16" s="239">
        <f>SUM(C13:C15)</f>
        <v>929170.4116323076</v>
      </c>
      <c r="D16" s="239">
        <f aca="true" t="shared" si="2" ref="D16:L16">SUM(D13:D15)</f>
        <v>1407615.7483767145</v>
      </c>
      <c r="E16" s="239">
        <f t="shared" si="2"/>
        <v>1406879.4751380554</v>
      </c>
      <c r="F16" s="239">
        <f t="shared" si="2"/>
        <v>1406168.1000282397</v>
      </c>
      <c r="G16" s="239">
        <f t="shared" si="2"/>
        <v>1405480.781081558</v>
      </c>
      <c r="H16" s="239">
        <f t="shared" si="2"/>
        <v>1404816.7048045709</v>
      </c>
      <c r="I16" s="239">
        <f t="shared" si="2"/>
        <v>1404175.085213279</v>
      </c>
      <c r="J16" s="239">
        <f t="shared" si="2"/>
        <v>1403555.162902852</v>
      </c>
      <c r="K16" s="239">
        <f t="shared" si="2"/>
        <v>1402956.2041488162</v>
      </c>
      <c r="L16" s="239">
        <f t="shared" si="2"/>
        <v>1402377.5000386368</v>
      </c>
      <c r="M16" s="233">
        <f>SUM(C16:L16)</f>
        <v>13573195.17336503</v>
      </c>
    </row>
    <row r="17" spans="2:13" ht="15">
      <c r="B17" s="22" t="s">
        <v>161</v>
      </c>
      <c r="C17" s="239">
        <f>C16/(1+$C$36)</f>
        <v>897749.189982906</v>
      </c>
      <c r="D17" s="239">
        <f aca="true" t="shared" si="3" ref="D17:L17">D16/(1+$C$36)</f>
        <v>1360015.2158229128</v>
      </c>
      <c r="E17" s="239">
        <f t="shared" si="3"/>
        <v>1359303.840713097</v>
      </c>
      <c r="F17" s="239">
        <f t="shared" si="3"/>
        <v>1358616.5217664153</v>
      </c>
      <c r="G17" s="239">
        <f t="shared" si="3"/>
        <v>1357952.445489428</v>
      </c>
      <c r="H17" s="239">
        <f t="shared" si="3"/>
        <v>1357310.8258981362</v>
      </c>
      <c r="I17" s="239">
        <f t="shared" si="3"/>
        <v>1356690.9035877092</v>
      </c>
      <c r="J17" s="239">
        <f t="shared" si="3"/>
        <v>1356091.9448336735</v>
      </c>
      <c r="K17" s="239">
        <f t="shared" si="3"/>
        <v>1355513.240723494</v>
      </c>
      <c r="L17" s="239">
        <f t="shared" si="3"/>
        <v>1354954.1063175236</v>
      </c>
      <c r="M17" s="233">
        <f>SUM(C17:L17)</f>
        <v>13114198.235135294</v>
      </c>
    </row>
    <row r="18" spans="2:13" ht="15">
      <c r="B18" s="23" t="s">
        <v>27</v>
      </c>
      <c r="C18" s="231">
        <f>C17-C11</f>
        <v>-2040222.4544615382</v>
      </c>
      <c r="D18" s="231">
        <f aca="true" t="shared" si="4" ref="D18:L18">D17-D11</f>
        <v>935876.3269340238</v>
      </c>
      <c r="E18" s="231">
        <f t="shared" si="4"/>
        <v>1237081.6184908748</v>
      </c>
      <c r="F18" s="231">
        <f t="shared" si="4"/>
        <v>1236394.299544193</v>
      </c>
      <c r="G18" s="231">
        <f t="shared" si="4"/>
        <v>1235730.2232672058</v>
      </c>
      <c r="H18" s="231">
        <f t="shared" si="4"/>
        <v>663421.9370092473</v>
      </c>
      <c r="I18" s="231">
        <f t="shared" si="4"/>
        <v>1218357.570254376</v>
      </c>
      <c r="J18" s="231">
        <f t="shared" si="4"/>
        <v>1217758.6115003403</v>
      </c>
      <c r="K18" s="231">
        <f t="shared" si="4"/>
        <v>1217179.9073901607</v>
      </c>
      <c r="L18" s="231">
        <f t="shared" si="4"/>
        <v>1216620.7729841904</v>
      </c>
      <c r="M18" s="230">
        <f>M17-M11</f>
        <v>8138198.812913074</v>
      </c>
    </row>
    <row r="19" spans="2:13" ht="30.75" thickBot="1">
      <c r="B19" s="67" t="s">
        <v>28</v>
      </c>
      <c r="C19" s="68">
        <f>C18/C11</f>
        <v>-0.6944323163633984</v>
      </c>
      <c r="D19" s="68">
        <f aca="true" t="shared" si="5" ref="D19:L19">D18/D11</f>
        <v>2.2065326982529867</v>
      </c>
      <c r="E19" s="68">
        <f t="shared" si="5"/>
        <v>10.1215768785617</v>
      </c>
      <c r="F19" s="68">
        <f t="shared" si="5"/>
        <v>10.115953359907033</v>
      </c>
      <c r="G19" s="68">
        <f t="shared" si="5"/>
        <v>10.110520008549864</v>
      </c>
      <c r="H19" s="68">
        <f t="shared" si="5"/>
        <v>0.956092463263927</v>
      </c>
      <c r="I19" s="68">
        <f t="shared" si="5"/>
        <v>8.80740412232079</v>
      </c>
      <c r="J19" s="68">
        <f t="shared" si="5"/>
        <v>8.803074300002459</v>
      </c>
      <c r="K19" s="68">
        <f t="shared" si="5"/>
        <v>8.798890896796342</v>
      </c>
      <c r="L19" s="68">
        <f t="shared" si="5"/>
        <v>8.794848961331496</v>
      </c>
      <c r="M19" s="69">
        <f>M16/M10</f>
        <v>2.635490305036782</v>
      </c>
    </row>
    <row r="20" spans="2:13" ht="15.75" thickBot="1">
      <c r="B20" s="70" t="s">
        <v>29</v>
      </c>
      <c r="C20" s="71">
        <f>C17/C11</f>
        <v>0.3055676836366016</v>
      </c>
      <c r="D20" s="71">
        <f aca="true" t="shared" si="6" ref="D20:L20">D17/D11</f>
        <v>3.2065326982529867</v>
      </c>
      <c r="E20" s="71">
        <f t="shared" si="6"/>
        <v>11.121576878561703</v>
      </c>
      <c r="F20" s="71">
        <f t="shared" si="6"/>
        <v>11.115953359907033</v>
      </c>
      <c r="G20" s="71">
        <f t="shared" si="6"/>
        <v>11.110520008549864</v>
      </c>
      <c r="H20" s="71">
        <f t="shared" si="6"/>
        <v>1.956092463263927</v>
      </c>
      <c r="I20" s="71">
        <f t="shared" si="6"/>
        <v>9.807404122320788</v>
      </c>
      <c r="J20" s="71">
        <f t="shared" si="6"/>
        <v>9.803074300002459</v>
      </c>
      <c r="K20" s="71">
        <f t="shared" si="6"/>
        <v>9.798890896796342</v>
      </c>
      <c r="L20" s="71">
        <f t="shared" si="6"/>
        <v>9.794848961331496</v>
      </c>
      <c r="M20" s="251">
        <f>M17/M11</f>
        <v>2.635490305036783</v>
      </c>
    </row>
    <row r="21" spans="2:13" ht="15">
      <c r="B21" s="2"/>
      <c r="C21" s="2"/>
      <c r="D21" s="2"/>
      <c r="E21" s="2"/>
      <c r="F21" s="2"/>
      <c r="G21" s="2"/>
      <c r="H21" s="2"/>
      <c r="I21" s="2"/>
      <c r="J21" s="2"/>
      <c r="K21" s="2"/>
      <c r="L21" s="2"/>
      <c r="M21" s="2"/>
    </row>
    <row r="22" spans="2:13" ht="21">
      <c r="B22" s="24" t="s">
        <v>30</v>
      </c>
      <c r="J22" s="2"/>
      <c r="K22" s="2"/>
      <c r="L22" s="2"/>
      <c r="M22" s="2"/>
    </row>
    <row r="23" spans="10:13" ht="15">
      <c r="J23" s="2"/>
      <c r="K23" s="2"/>
      <c r="L23" s="2"/>
      <c r="M23" s="2"/>
    </row>
    <row r="24" spans="2:13" ht="15.75" thickBot="1">
      <c r="B24" s="25"/>
      <c r="C24" s="399" t="s">
        <v>89</v>
      </c>
      <c r="D24" s="400"/>
      <c r="E24" s="26"/>
      <c r="F24" s="26"/>
      <c r="G24" s="26"/>
      <c r="H24" s="26"/>
      <c r="I24" s="26"/>
      <c r="J24" s="2"/>
      <c r="K24" s="2"/>
      <c r="L24" s="2"/>
      <c r="M24" s="2"/>
    </row>
    <row r="25" spans="3:13" ht="15.75" thickBot="1">
      <c r="C25" s="249" t="s">
        <v>11</v>
      </c>
      <c r="D25" s="241" t="s">
        <v>12</v>
      </c>
      <c r="E25" s="242" t="s">
        <v>13</v>
      </c>
      <c r="F25" s="242" t="s">
        <v>14</v>
      </c>
      <c r="G25" s="242" t="s">
        <v>15</v>
      </c>
      <c r="H25" s="242" t="s">
        <v>16</v>
      </c>
      <c r="I25" s="242" t="s">
        <v>17</v>
      </c>
      <c r="J25" s="242" t="s">
        <v>18</v>
      </c>
      <c r="K25" s="242" t="s">
        <v>79</v>
      </c>
      <c r="L25" s="242" t="s">
        <v>80</v>
      </c>
      <c r="M25" s="243" t="s">
        <v>31</v>
      </c>
    </row>
    <row r="26" spans="2:13" ht="15">
      <c r="B26" s="244" t="s">
        <v>78</v>
      </c>
      <c r="C26" s="27">
        <f>C11</f>
        <v>2937971.644444444</v>
      </c>
      <c r="D26" s="28">
        <f>D11</f>
        <v>424138.88888888893</v>
      </c>
      <c r="E26" s="28">
        <f aca="true" t="shared" si="7" ref="E26:L26">E11</f>
        <v>122222.22222222223</v>
      </c>
      <c r="F26" s="28">
        <f t="shared" si="7"/>
        <v>122222.22222222223</v>
      </c>
      <c r="G26" s="28">
        <f t="shared" si="7"/>
        <v>122222.22222222223</v>
      </c>
      <c r="H26" s="28">
        <f t="shared" si="7"/>
        <v>693888.888888889</v>
      </c>
      <c r="I26" s="28">
        <f t="shared" si="7"/>
        <v>138333.33333333334</v>
      </c>
      <c r="J26" s="28">
        <f t="shared" si="7"/>
        <v>138333.33333333334</v>
      </c>
      <c r="K26" s="28">
        <f t="shared" si="7"/>
        <v>138333.33333333334</v>
      </c>
      <c r="L26" s="29">
        <f t="shared" si="7"/>
        <v>138333.33333333334</v>
      </c>
      <c r="M26" s="30">
        <f>SUM(C26:L26)</f>
        <v>4975999.42222222</v>
      </c>
    </row>
    <row r="27" spans="2:13" ht="15">
      <c r="B27" s="245" t="s">
        <v>32</v>
      </c>
      <c r="C27" s="31"/>
      <c r="D27" s="28">
        <f>D16</f>
        <v>1407615.7483767145</v>
      </c>
      <c r="E27" s="28">
        <f aca="true" t="shared" si="8" ref="E27:L27">E16</f>
        <v>1406879.4751380554</v>
      </c>
      <c r="F27" s="28">
        <f t="shared" si="8"/>
        <v>1406168.1000282397</v>
      </c>
      <c r="G27" s="28">
        <f t="shared" si="8"/>
        <v>1405480.781081558</v>
      </c>
      <c r="H27" s="28">
        <f t="shared" si="8"/>
        <v>1404816.7048045709</v>
      </c>
      <c r="I27" s="28">
        <f t="shared" si="8"/>
        <v>1404175.085213279</v>
      </c>
      <c r="J27" s="28">
        <f t="shared" si="8"/>
        <v>1403555.162902852</v>
      </c>
      <c r="K27" s="28">
        <f t="shared" si="8"/>
        <v>1402956.2041488162</v>
      </c>
      <c r="L27" s="29">
        <f t="shared" si="8"/>
        <v>1402377.5000386368</v>
      </c>
      <c r="M27" s="30">
        <f>SUM(C27:L27)</f>
        <v>12644024.761732724</v>
      </c>
    </row>
    <row r="28" spans="2:13" ht="15">
      <c r="B28" s="245" t="s">
        <v>27</v>
      </c>
      <c r="C28" s="27">
        <f>C18</f>
        <v>-2040222.4544615382</v>
      </c>
      <c r="D28" s="32">
        <f aca="true" t="shared" si="9" ref="D28:L28">D18</f>
        <v>935876.3269340238</v>
      </c>
      <c r="E28" s="32">
        <f t="shared" si="9"/>
        <v>1237081.6184908748</v>
      </c>
      <c r="F28" s="32">
        <f t="shared" si="9"/>
        <v>1236394.299544193</v>
      </c>
      <c r="G28" s="32">
        <f t="shared" si="9"/>
        <v>1235730.2232672058</v>
      </c>
      <c r="H28" s="32">
        <f t="shared" si="9"/>
        <v>663421.9370092473</v>
      </c>
      <c r="I28" s="32">
        <f t="shared" si="9"/>
        <v>1218357.570254376</v>
      </c>
      <c r="J28" s="32">
        <f t="shared" si="9"/>
        <v>1217758.6115003403</v>
      </c>
      <c r="K28" s="32">
        <f t="shared" si="9"/>
        <v>1217179.9073901607</v>
      </c>
      <c r="L28" s="33">
        <f t="shared" si="9"/>
        <v>1216620.7729841904</v>
      </c>
      <c r="M28" s="30">
        <f>SUM(C28:L28)</f>
        <v>8138198.812913073</v>
      </c>
    </row>
    <row r="29" spans="2:13" ht="15">
      <c r="B29" s="246" t="s">
        <v>86</v>
      </c>
      <c r="C29" s="34">
        <f>C26</f>
        <v>2937971.644444444</v>
      </c>
      <c r="D29" s="35">
        <f>C29+D26</f>
        <v>3362110.533333333</v>
      </c>
      <c r="E29" s="35">
        <f>D29+E26</f>
        <v>3484332.755555555</v>
      </c>
      <c r="F29" s="35">
        <f aca="true" t="shared" si="10" ref="F29:L30">E29+F26</f>
        <v>3606554.9777777772</v>
      </c>
      <c r="G29" s="35">
        <f t="shared" si="10"/>
        <v>3728777.1999999993</v>
      </c>
      <c r="H29" s="35">
        <f t="shared" si="10"/>
        <v>4422666.088888888</v>
      </c>
      <c r="I29" s="35">
        <f t="shared" si="10"/>
        <v>4560999.422222221</v>
      </c>
      <c r="J29" s="35">
        <f t="shared" si="10"/>
        <v>4699332.755555554</v>
      </c>
      <c r="K29" s="35">
        <f t="shared" si="10"/>
        <v>4837666.088888887</v>
      </c>
      <c r="L29" s="36">
        <f t="shared" si="10"/>
        <v>4975999.42222222</v>
      </c>
      <c r="M29" s="37"/>
    </row>
    <row r="30" spans="2:13" ht="15">
      <c r="B30" s="247" t="s">
        <v>87</v>
      </c>
      <c r="C30" s="250">
        <v>0</v>
      </c>
      <c r="D30" s="38">
        <f>D16</f>
        <v>1407615.7483767145</v>
      </c>
      <c r="E30" s="38">
        <f>D30+E27</f>
        <v>2814495.22351477</v>
      </c>
      <c r="F30" s="38">
        <f>E30+F27</f>
        <v>4220663.32354301</v>
      </c>
      <c r="G30" s="38">
        <f t="shared" si="10"/>
        <v>5626144.1046245685</v>
      </c>
      <c r="H30" s="38">
        <f t="shared" si="10"/>
        <v>7030960.809429139</v>
      </c>
      <c r="I30" s="38">
        <f t="shared" si="10"/>
        <v>8435135.894642418</v>
      </c>
      <c r="J30" s="38">
        <f t="shared" si="10"/>
        <v>9838691.05754527</v>
      </c>
      <c r="K30" s="38">
        <f t="shared" si="10"/>
        <v>11241647.261694087</v>
      </c>
      <c r="L30" s="39">
        <f t="shared" si="10"/>
        <v>12644024.761732724</v>
      </c>
      <c r="M30" s="40"/>
    </row>
    <row r="31" spans="2:13" ht="15.75" thickBot="1">
      <c r="B31" s="248" t="s">
        <v>33</v>
      </c>
      <c r="C31" s="41">
        <f>C28</f>
        <v>-2040222.4544615382</v>
      </c>
      <c r="D31" s="42">
        <f>C31+D28</f>
        <v>-1104346.1275275145</v>
      </c>
      <c r="E31" s="42">
        <f>D31+E28</f>
        <v>132735.4909633603</v>
      </c>
      <c r="F31" s="42">
        <f aca="true" t="shared" si="11" ref="F31:L31">E31+F28</f>
        <v>1369129.7905075534</v>
      </c>
      <c r="G31" s="42">
        <f t="shared" si="11"/>
        <v>2604860.013774759</v>
      </c>
      <c r="H31" s="42">
        <f t="shared" si="11"/>
        <v>3268281.950784006</v>
      </c>
      <c r="I31" s="42">
        <f t="shared" si="11"/>
        <v>4486639.521038382</v>
      </c>
      <c r="J31" s="42">
        <f t="shared" si="11"/>
        <v>5704398.132538723</v>
      </c>
      <c r="K31" s="42">
        <f t="shared" si="11"/>
        <v>6921578.039928883</v>
      </c>
      <c r="L31" s="42">
        <f t="shared" si="11"/>
        <v>8138198.812913073</v>
      </c>
      <c r="M31" s="43"/>
    </row>
    <row r="32" spans="2:13" ht="15">
      <c r="B32" s="2"/>
      <c r="C32" s="2"/>
      <c r="D32" s="2"/>
      <c r="E32" s="2"/>
      <c r="F32" s="2"/>
      <c r="G32" s="2"/>
      <c r="H32" s="2"/>
      <c r="I32" s="2"/>
      <c r="J32" s="2"/>
      <c r="K32" s="2"/>
      <c r="L32" s="2"/>
      <c r="M32" s="2"/>
    </row>
    <row r="33" spans="2:13" ht="21">
      <c r="B33" s="24" t="s">
        <v>34</v>
      </c>
      <c r="E33" s="2"/>
      <c r="F33" s="2"/>
      <c r="G33" s="2"/>
      <c r="H33" s="2"/>
      <c r="I33" s="2"/>
      <c r="J33" s="2"/>
      <c r="K33" s="2"/>
      <c r="L33" s="2"/>
      <c r="M33" s="2"/>
    </row>
    <row r="34" spans="5:13" ht="15.75" thickBot="1">
      <c r="E34" s="2"/>
      <c r="F34" s="2"/>
      <c r="G34" s="2"/>
      <c r="H34" s="2"/>
      <c r="I34" s="2"/>
      <c r="J34" s="2"/>
      <c r="K34" s="2"/>
      <c r="L34" s="2"/>
      <c r="M34" s="2"/>
    </row>
    <row r="35" spans="2:13" ht="15.75" thickBot="1">
      <c r="B35" s="253" t="s">
        <v>10</v>
      </c>
      <c r="C35" s="252" t="s">
        <v>35</v>
      </c>
      <c r="D35" s="44" t="s">
        <v>36</v>
      </c>
      <c r="E35" s="2"/>
      <c r="F35" s="2"/>
      <c r="G35" s="2"/>
      <c r="H35" s="2"/>
      <c r="I35" s="2"/>
      <c r="J35" s="2"/>
      <c r="K35" s="2"/>
      <c r="L35" s="2"/>
      <c r="M35" s="2"/>
    </row>
    <row r="36" spans="2:13" ht="102" thickBot="1">
      <c r="B36" s="58" t="s">
        <v>37</v>
      </c>
      <c r="C36" s="57">
        <v>0.035</v>
      </c>
      <c r="D36" s="45" t="s">
        <v>38</v>
      </c>
      <c r="E36" s="2"/>
      <c r="F36" s="2"/>
      <c r="G36" s="2"/>
      <c r="H36" s="2"/>
      <c r="I36" s="2"/>
      <c r="J36" s="2"/>
      <c r="K36" s="2"/>
      <c r="L36" s="2"/>
      <c r="M36" s="2"/>
    </row>
  </sheetData>
  <sheetProtection/>
  <mergeCells count="2">
    <mergeCell ref="C24:D24"/>
    <mergeCell ref="C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 Corporation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DHART benefit cost ratio model</dc:title>
  <dc:subject/>
  <dc:creator>Mr Mike Smith (Zengenti)</dc:creator>
  <cp:keywords/>
  <dc:description/>
  <cp:lastModifiedBy>Deborah Harman</cp:lastModifiedBy>
  <dcterms:created xsi:type="dcterms:W3CDTF">2017-06-16T09:38:31Z</dcterms:created>
  <dcterms:modified xsi:type="dcterms:W3CDTF">2017-06-30T10:56:46Z</dcterms:modified>
  <cp:category/>
  <cp:version/>
  <cp:contentType/>
  <cp:contentStatus/>
</cp:coreProperties>
</file>